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840" activeTab="0"/>
  </bookViews>
  <sheets>
    <sheet name="balance sheet" sheetId="1" r:id="rId1"/>
    <sheet name="income stat" sheetId="2" r:id="rId2"/>
    <sheet name="cash flow" sheetId="3" r:id="rId3"/>
    <sheet name="equity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'balance sheet'!$A$1:$F$57</definedName>
    <definedName name="_xlnm.Print_Area" localSheetId="3">'equity'!$A$1:$N$57</definedName>
    <definedName name="_xlnm.Print_Area" localSheetId="1">'income stat'!$A$1:$K$49</definedName>
  </definedNames>
  <calcPr fullCalcOnLoad="1"/>
</workbook>
</file>

<file path=xl/sharedStrings.xml><?xml version="1.0" encoding="utf-8"?>
<sst xmlns="http://schemas.openxmlformats.org/spreadsheetml/2006/main" count="180" uniqueCount="130">
  <si>
    <t>RM'000</t>
  </si>
  <si>
    <t>Revenue</t>
  </si>
  <si>
    <t>Current Assets</t>
  </si>
  <si>
    <t xml:space="preserve">   Inventories</t>
  </si>
  <si>
    <t xml:space="preserve">   Trade receivables</t>
  </si>
  <si>
    <t xml:space="preserve">   Tax recoverable</t>
  </si>
  <si>
    <t xml:space="preserve">   Fixed deposit with licensed banks</t>
  </si>
  <si>
    <t xml:space="preserve">   Cash and bank balances</t>
  </si>
  <si>
    <t>Current Liabilities</t>
  </si>
  <si>
    <t xml:space="preserve">   Trade payables</t>
  </si>
  <si>
    <t xml:space="preserve">   Other payables and accruals</t>
  </si>
  <si>
    <t>Net Current Assets</t>
  </si>
  <si>
    <t>Financed by</t>
  </si>
  <si>
    <t>Share Capital</t>
  </si>
  <si>
    <t xml:space="preserve">   Share premium</t>
  </si>
  <si>
    <t>Long Term and Deferred Liabilities</t>
  </si>
  <si>
    <t xml:space="preserve">   Borrowings </t>
  </si>
  <si>
    <t xml:space="preserve">   Deferred taxation</t>
  </si>
  <si>
    <t>Net tangible assets per share  (RM)</t>
  </si>
  <si>
    <t>Taxation</t>
  </si>
  <si>
    <t>Finance costs</t>
  </si>
  <si>
    <t>Share of results of an associated company</t>
  </si>
  <si>
    <t>Interest paid</t>
  </si>
  <si>
    <t>Tax paid</t>
  </si>
  <si>
    <t>CASH FLOWS FROM INVESTING ACTIVITIES</t>
  </si>
  <si>
    <t>CASH FLOWS FROM OPERATING ACTIVITIES</t>
  </si>
  <si>
    <t>CASH FLOWS FROM FINANCING ACTIVITIES</t>
  </si>
  <si>
    <t>Dividend paid to the former shareholders of</t>
  </si>
  <si>
    <t xml:space="preserve"> the subsidiary companies</t>
  </si>
  <si>
    <t xml:space="preserve">Retained </t>
  </si>
  <si>
    <t>profits</t>
  </si>
  <si>
    <t xml:space="preserve">Share </t>
  </si>
  <si>
    <t>premium</t>
  </si>
  <si>
    <t>Total</t>
  </si>
  <si>
    <t>(The firgures have not been audited)</t>
  </si>
  <si>
    <t>Current</t>
  </si>
  <si>
    <t>capital</t>
  </si>
  <si>
    <t>Earning per share (sen)</t>
  </si>
  <si>
    <t xml:space="preserve">   Short term borrowings</t>
  </si>
  <si>
    <t>Operating profit before working capital changes</t>
  </si>
  <si>
    <t>CONDENSED CONSOLIDATED INCOME STATEMENTS</t>
  </si>
  <si>
    <t>CONDENSED CONSOLIDATED BALANCE SHEETS</t>
  </si>
  <si>
    <t>CONDENSED CONSOLIDATED STATEMENT OF CHANGES IN EQUITY</t>
  </si>
  <si>
    <t xml:space="preserve">  </t>
  </si>
  <si>
    <t xml:space="preserve"> CONDENSED CONSOLIDATED CASH FLOW STATEMENT</t>
  </si>
  <si>
    <t>Reserve on</t>
  </si>
  <si>
    <t xml:space="preserve"> consolidation</t>
  </si>
  <si>
    <t xml:space="preserve">   Retained profits</t>
  </si>
  <si>
    <t xml:space="preserve">   Reserve on consolidation</t>
  </si>
  <si>
    <t>Share of results of  joint venture companies</t>
  </si>
  <si>
    <t xml:space="preserve">   Amount owing by joint venture companies</t>
  </si>
  <si>
    <t xml:space="preserve">   Amount owing to joint venture companies</t>
  </si>
  <si>
    <t>Minority interests</t>
  </si>
  <si>
    <t xml:space="preserve"> </t>
  </si>
  <si>
    <t>Cash generated from operations</t>
  </si>
  <si>
    <t xml:space="preserve">Reserve on consolidation arising from </t>
  </si>
  <si>
    <t>ACOUSTECH BERHAD (496665-W)</t>
  </si>
  <si>
    <t>(Incorporated in Malaysia)</t>
  </si>
  <si>
    <t>year</t>
  </si>
  <si>
    <t>quarter</t>
  </si>
  <si>
    <t>Preceding year</t>
  </si>
  <si>
    <t xml:space="preserve">corresponding </t>
  </si>
  <si>
    <t>to date</t>
  </si>
  <si>
    <t>corresponding</t>
  </si>
  <si>
    <t>period</t>
  </si>
  <si>
    <t>31/03/04</t>
  </si>
  <si>
    <t>31/03/03</t>
  </si>
  <si>
    <t xml:space="preserve">  Basic</t>
  </si>
  <si>
    <t>Loss on disposal of an associated company</t>
  </si>
  <si>
    <t>Operating expenses</t>
  </si>
  <si>
    <t>Individual quarter (Q4)</t>
  </si>
  <si>
    <t>Profit before taxation</t>
  </si>
  <si>
    <t>Property, plant and equipment</t>
  </si>
  <si>
    <t>Investment in an associated company</t>
  </si>
  <si>
    <t>Investment in joint venture companies</t>
  </si>
  <si>
    <t>Other investment</t>
  </si>
  <si>
    <t xml:space="preserve">   Other receivables, deposits and prepayments</t>
  </si>
  <si>
    <t>Net profit / (loss) for the period</t>
  </si>
  <si>
    <t>Profit / (loss) after taxation</t>
  </si>
  <si>
    <t>Balance as at 1 April  2003</t>
  </si>
  <si>
    <t>Balance as at 1 April 2002</t>
  </si>
  <si>
    <t>Balance as at 31 March 2003</t>
  </si>
  <si>
    <t>Net profit for the year</t>
  </si>
  <si>
    <t>Dividend paid in respect of previous</t>
  </si>
  <si>
    <t xml:space="preserve">  financial year</t>
  </si>
  <si>
    <t>Share issue expenses - not recognised in</t>
  </si>
  <si>
    <t xml:space="preserve">  income statement</t>
  </si>
  <si>
    <t>Reserve on consolidation arising from</t>
  </si>
  <si>
    <t xml:space="preserve">  acquisition of a subsidiary company</t>
  </si>
  <si>
    <t>Balance as at 31 March 2004</t>
  </si>
  <si>
    <t>Amortisation for the year</t>
  </si>
  <si>
    <t>Reserves</t>
  </si>
  <si>
    <t>Shareholders' equity</t>
  </si>
  <si>
    <t>Adjustments for non cash items</t>
  </si>
  <si>
    <t>Net changes in working capital</t>
  </si>
  <si>
    <t>Other investments</t>
  </si>
  <si>
    <t>Equity investment</t>
  </si>
  <si>
    <t>Bank borrowings</t>
  </si>
  <si>
    <t>Net cash inflow from operating activities</t>
  </si>
  <si>
    <t>Disposal of investment</t>
  </si>
  <si>
    <t>Net cash outflow from financing activities</t>
  </si>
  <si>
    <t>Net cash outflow from investing activities</t>
  </si>
  <si>
    <t>Cash and cash equivalents at beginning of financial year</t>
  </si>
  <si>
    <t>Cash and cash equivalents at end of financial year</t>
  </si>
  <si>
    <t>Net (decrease) / increase in cash and cash equivalents</t>
  </si>
  <si>
    <t>Dividend paid to the shareholders of the Company</t>
  </si>
  <si>
    <t>Fourth quarter interim report for the financial year ended 31 March 2004</t>
  </si>
  <si>
    <t xml:space="preserve">   Dividends</t>
  </si>
  <si>
    <t>interim financial report)</t>
  </si>
  <si>
    <t>Other operating income</t>
  </si>
  <si>
    <t>Profit / (loss) from operations</t>
  </si>
  <si>
    <t xml:space="preserve">  Diluted</t>
  </si>
  <si>
    <t>n/a</t>
  </si>
  <si>
    <t>Dividends</t>
  </si>
  <si>
    <t>Reclassification - Dividend proposed in</t>
  </si>
  <si>
    <t xml:space="preserve">  respect of current financial year</t>
  </si>
  <si>
    <t>Restated balance</t>
  </si>
  <si>
    <t>Interim dividend declared in respect of</t>
  </si>
  <si>
    <r>
      <t xml:space="preserve">  current financial year 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</si>
  <si>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The interim dividend was paid on 23 April 2004.</t>
    </r>
  </si>
  <si>
    <t>Dividend proposed in respect of</t>
  </si>
  <si>
    <t xml:space="preserve">   current financial year</t>
  </si>
  <si>
    <t>(The notes set out on pages 5 to 10 form an integral part of and should be read in conjunction with this</t>
  </si>
  <si>
    <t xml:space="preserve">        Cumulative quarter</t>
  </si>
  <si>
    <t xml:space="preserve">   Dividend payable</t>
  </si>
  <si>
    <t>proposed</t>
  </si>
  <si>
    <t>Repayment from/(advances to) a joint venture company</t>
  </si>
  <si>
    <t>Payment of share issue expenses</t>
  </si>
  <si>
    <t xml:space="preserve">Final dividend proposed in respect </t>
  </si>
  <si>
    <t xml:space="preserve">  of the current financial year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</si>
</sst>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  <numFmt numFmtId="172" formatCode="0_);\(0\)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172" fontId="0" fillId="0" borderId="0" xfId="0" applyAlignment="1">
      <alignment/>
    </xf>
    <xf numFmtId="172" fontId="1" fillId="0" borderId="0" xfId="0" applyFont="1" applyAlignment="1">
      <alignment/>
    </xf>
    <xf numFmtId="172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72" fontId="2" fillId="0" borderId="0" xfId="0" applyFont="1" applyAlignment="1" quotePrefix="1">
      <alignment/>
    </xf>
    <xf numFmtId="164" fontId="2" fillId="0" borderId="0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43" fontId="2" fillId="0" borderId="0" xfId="15" applyFont="1" applyAlignment="1">
      <alignment/>
    </xf>
    <xf numFmtId="172" fontId="1" fillId="0" borderId="0" xfId="0" applyFont="1" applyAlignment="1" quotePrefix="1">
      <alignment horizontal="left"/>
    </xf>
    <xf numFmtId="172" fontId="2" fillId="0" borderId="0" xfId="0" applyFont="1" applyAlignment="1" quotePrefix="1">
      <alignment horizontal="left"/>
    </xf>
    <xf numFmtId="172" fontId="2" fillId="0" borderId="0" xfId="0" applyFont="1" applyBorder="1" applyAlignment="1">
      <alignment/>
    </xf>
    <xf numFmtId="172" fontId="2" fillId="0" borderId="0" xfId="0" applyFont="1" applyAlignment="1">
      <alignment horizontal="left"/>
    </xf>
    <xf numFmtId="167" fontId="2" fillId="0" borderId="0" xfId="15" applyNumberFormat="1" applyFont="1" applyAlignment="1">
      <alignment/>
    </xf>
    <xf numFmtId="172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172" fontId="1" fillId="0" borderId="0" xfId="0" applyFont="1" applyAlignment="1">
      <alignment horizontal="left"/>
    </xf>
    <xf numFmtId="172" fontId="2" fillId="0" borderId="0" xfId="0" applyFont="1" applyFill="1" applyAlignment="1" quotePrefix="1">
      <alignment horizontal="center"/>
    </xf>
    <xf numFmtId="172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 horizontal="center"/>
    </xf>
    <xf numFmtId="172" fontId="2" fillId="0" borderId="0" xfId="0" applyFont="1" applyFill="1" applyAlignment="1">
      <alignment horizontal="center"/>
    </xf>
    <xf numFmtId="164" fontId="2" fillId="0" borderId="0" xfId="15" applyNumberFormat="1" applyFont="1" applyFill="1" applyBorder="1" applyAlignment="1">
      <alignment horizontal="center"/>
    </xf>
    <xf numFmtId="164" fontId="2" fillId="0" borderId="0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43" fontId="2" fillId="0" borderId="6" xfId="15" applyFont="1" applyFill="1" applyBorder="1" applyAlignment="1">
      <alignment/>
    </xf>
    <xf numFmtId="172" fontId="2" fillId="0" borderId="0" xfId="0" applyFont="1" applyFill="1" applyBorder="1" applyAlignment="1">
      <alignment/>
    </xf>
    <xf numFmtId="164" fontId="2" fillId="0" borderId="0" xfId="15" applyNumberFormat="1" applyFont="1" applyFill="1" applyAlignment="1" quotePrefix="1">
      <alignment horizontal="center"/>
    </xf>
    <xf numFmtId="172" fontId="1" fillId="0" borderId="0" xfId="0" applyFont="1" applyFill="1" applyAlignment="1">
      <alignment/>
    </xf>
    <xf numFmtId="164" fontId="2" fillId="0" borderId="0" xfId="15" applyNumberFormat="1" applyFont="1" applyFill="1" applyAlignment="1">
      <alignment horizontal="center"/>
    </xf>
    <xf numFmtId="172" fontId="2" fillId="0" borderId="0" xfId="0" applyFont="1" applyFill="1" applyBorder="1" applyAlignment="1">
      <alignment horizontal="center"/>
    </xf>
    <xf numFmtId="164" fontId="2" fillId="0" borderId="0" xfId="15" applyNumberFormat="1" applyFont="1" applyFill="1" applyBorder="1" applyAlignment="1" quotePrefix="1">
      <alignment horizontal="left"/>
    </xf>
    <xf numFmtId="164" fontId="2" fillId="0" borderId="7" xfId="15" applyNumberFormat="1" applyFont="1" applyBorder="1" applyAlignment="1">
      <alignment/>
    </xf>
    <xf numFmtId="164" fontId="2" fillId="0" borderId="4" xfId="15" applyNumberFormat="1" applyFont="1" applyFill="1" applyBorder="1" applyAlignment="1">
      <alignment/>
    </xf>
    <xf numFmtId="172" fontId="7" fillId="0" borderId="0" xfId="0" applyFont="1" applyAlignment="1" quotePrefix="1">
      <alignment horizontal="left"/>
    </xf>
    <xf numFmtId="172" fontId="5" fillId="0" borderId="0" xfId="0" applyFont="1" applyAlignment="1" quotePrefix="1">
      <alignment horizontal="left"/>
    </xf>
    <xf numFmtId="164" fontId="1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Fill="1" applyBorder="1" applyAlignment="1" quotePrefix="1">
      <alignment horizontal="left"/>
    </xf>
    <xf numFmtId="164" fontId="1" fillId="0" borderId="1" xfId="15" applyNumberFormat="1" applyFont="1" applyFill="1" applyBorder="1" applyAlignment="1">
      <alignment/>
    </xf>
    <xf numFmtId="164" fontId="1" fillId="0" borderId="1" xfId="15" applyNumberFormat="1" applyFont="1" applyFill="1" applyBorder="1" applyAlignment="1" quotePrefix="1">
      <alignment/>
    </xf>
    <xf numFmtId="164" fontId="1" fillId="0" borderId="1" xfId="15" applyNumberFormat="1" applyFont="1" applyFill="1" applyBorder="1" applyAlignment="1">
      <alignment horizontal="center"/>
    </xf>
    <xf numFmtId="164" fontId="1" fillId="0" borderId="0" xfId="15" applyNumberFormat="1" applyFont="1" applyFill="1" applyAlignment="1">
      <alignment/>
    </xf>
    <xf numFmtId="43" fontId="1" fillId="0" borderId="6" xfId="15" applyFont="1" applyFill="1" applyBorder="1" applyAlignment="1">
      <alignment/>
    </xf>
    <xf numFmtId="164" fontId="1" fillId="0" borderId="0" xfId="15" applyNumberFormat="1" applyFont="1" applyAlignment="1">
      <alignment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7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43" fontId="1" fillId="0" borderId="0" xfId="15" applyFont="1" applyAlignment="1">
      <alignment/>
    </xf>
    <xf numFmtId="172" fontId="2" fillId="0" borderId="0" xfId="0" applyFont="1" applyAlignment="1">
      <alignment horizontal="right"/>
    </xf>
    <xf numFmtId="164" fontId="1" fillId="0" borderId="0" xfId="15" applyNumberFormat="1" applyFont="1" applyFill="1" applyAlignment="1">
      <alignment horizontal="right"/>
    </xf>
    <xf numFmtId="172" fontId="1" fillId="0" borderId="0" xfId="0" applyFont="1" applyFill="1" applyAlignment="1">
      <alignment horizontal="right"/>
    </xf>
    <xf numFmtId="164" fontId="2" fillId="0" borderId="8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72" fontId="1" fillId="0" borderId="0" xfId="0" applyFont="1" applyAlignment="1">
      <alignment horizontal="right"/>
    </xf>
    <xf numFmtId="164" fontId="1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 horizontal="right"/>
    </xf>
    <xf numFmtId="172" fontId="8" fillId="0" borderId="0" xfId="0" applyFont="1" applyAlignment="1">
      <alignment/>
    </xf>
    <xf numFmtId="43" fontId="2" fillId="0" borderId="9" xfId="15" applyNumberFormat="1" applyFont="1" applyFill="1" applyBorder="1" applyAlignment="1">
      <alignment horizontal="right"/>
    </xf>
    <xf numFmtId="43" fontId="1" fillId="0" borderId="9" xfId="15" applyNumberFormat="1" applyFont="1" applyFill="1" applyBorder="1" applyAlignment="1">
      <alignment horizontal="right"/>
    </xf>
    <xf numFmtId="164" fontId="1" fillId="0" borderId="6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164" fontId="1" fillId="0" borderId="6" xfId="15" applyNumberFormat="1" applyFont="1" applyFill="1" applyBorder="1" applyAlignment="1">
      <alignment horizontal="center"/>
    </xf>
    <xf numFmtId="164" fontId="2" fillId="0" borderId="0" xfId="15" applyNumberFormat="1" applyFont="1" applyAlignment="1">
      <alignment horizontal="right"/>
    </xf>
    <xf numFmtId="164" fontId="1" fillId="0" borderId="8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72" fontId="1" fillId="0" borderId="0" xfId="0" applyFont="1" applyAlignment="1" quotePrefix="1">
      <alignment horizontal="right"/>
    </xf>
    <xf numFmtId="172" fontId="9" fillId="0" borderId="0" xfId="0" applyFont="1" applyAlignment="1">
      <alignment horizontal="left"/>
    </xf>
    <xf numFmtId="172" fontId="2" fillId="0" borderId="0" xfId="0" applyFont="1" applyAlignment="1">
      <alignment horizontal="center"/>
    </xf>
    <xf numFmtId="172" fontId="4" fillId="0" borderId="0" xfId="0" applyFont="1" applyAlignment="1">
      <alignment horizontal="center"/>
    </xf>
    <xf numFmtId="172" fontId="5" fillId="0" borderId="0" xfId="0" applyFont="1" applyAlignment="1">
      <alignment horizontal="center"/>
    </xf>
    <xf numFmtId="164" fontId="1" fillId="0" borderId="0" xfId="15" applyNumberFormat="1" applyFont="1" applyFill="1" applyAlignment="1">
      <alignment horizontal="right"/>
    </xf>
    <xf numFmtId="172" fontId="1" fillId="0" borderId="0" xfId="0" applyFont="1" applyFill="1" applyAlignment="1">
      <alignment horizontal="center"/>
    </xf>
    <xf numFmtId="172" fontId="4" fillId="0" borderId="0" xfId="0" applyFont="1" applyAlignment="1" quotePrefix="1">
      <alignment horizontal="center"/>
    </xf>
    <xf numFmtId="172" fontId="6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Acoustech-conso03(21.5.03)-audi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opy%20of%20Consolidated%20Account-3rd%20Quarter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q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quarterly%20report%204q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adj"/>
      <sheetName val="Con.BS"/>
      <sheetName val="Con.IS"/>
      <sheetName val="Concflow"/>
      <sheetName val="jv"/>
      <sheetName val="associate"/>
      <sheetName val="effect of acq"/>
      <sheetName val="others"/>
    </sheetNames>
    <sheetDataSet>
      <sheetData sheetId="1">
        <row r="12">
          <cell r="AI12">
            <v>49693086</v>
          </cell>
        </row>
        <row r="14">
          <cell r="AI14">
            <v>3755630</v>
          </cell>
        </row>
        <row r="18">
          <cell r="AI18">
            <v>4642678</v>
          </cell>
        </row>
        <row r="20">
          <cell r="AI20">
            <v>4362610</v>
          </cell>
        </row>
        <row r="24">
          <cell r="AI24">
            <v>17796095</v>
          </cell>
        </row>
        <row r="25">
          <cell r="AI25">
            <v>60467136</v>
          </cell>
        </row>
        <row r="26">
          <cell r="AI26">
            <v>2046384</v>
          </cell>
        </row>
        <row r="27">
          <cell r="AI27">
            <v>3997033</v>
          </cell>
        </row>
        <row r="32">
          <cell r="AI32">
            <v>26817546</v>
          </cell>
        </row>
        <row r="33">
          <cell r="AI33">
            <v>2355041</v>
          </cell>
        </row>
        <row r="34">
          <cell r="AI34">
            <v>8470433</v>
          </cell>
        </row>
        <row r="39">
          <cell r="AI39">
            <v>18448219</v>
          </cell>
        </row>
        <row r="40">
          <cell r="AI40">
            <v>4507905</v>
          </cell>
        </row>
        <row r="41">
          <cell r="AI41">
            <v>347731</v>
          </cell>
        </row>
        <row r="46">
          <cell r="AI46">
            <v>28926025</v>
          </cell>
        </row>
        <row r="56">
          <cell r="AI56">
            <v>78000000</v>
          </cell>
        </row>
        <row r="58">
          <cell r="AI58">
            <v>4689243</v>
          </cell>
        </row>
        <row r="62">
          <cell r="AI62">
            <v>320056</v>
          </cell>
        </row>
        <row r="68">
          <cell r="AI68">
            <v>5411604</v>
          </cell>
        </row>
        <row r="72">
          <cell r="AI72">
            <v>2511200</v>
          </cell>
        </row>
        <row r="73">
          <cell r="AI73">
            <v>2902000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V-FPEQ"/>
      <sheetName val="JV-Musashi"/>
      <sheetName val="ASSOC-CGSEC"/>
      <sheetName val="CONSOL ADJ"/>
      <sheetName val="CONSOL-BS"/>
      <sheetName val="CONSOL-IS"/>
      <sheetName val="CONSOL-CF"/>
      <sheetName val="CONSOL-BS-FPT"/>
      <sheetName val="CONSOL-PL-FPT"/>
      <sheetName val="CONSOL-CF-FPT"/>
      <sheetName val="FPEQ-PL-12'2003"/>
      <sheetName val="FPEQ-BS-12'2003"/>
      <sheetName val="FPT-PL-12'2003"/>
      <sheetName val="FPT-BS-12'2003"/>
      <sheetName val="FPC-PL-12'2003"/>
      <sheetName val="FPC-BS-12'2003"/>
      <sheetName val="HOT-PL-12'2003"/>
      <sheetName val="HOT-BS-12'2003"/>
      <sheetName val="ACOU-PL-12'2003"/>
      <sheetName val="ACOU-BS-12'2003"/>
    </sheetNames>
    <sheetDataSet>
      <sheetData sheetId="6">
        <row r="78">
          <cell r="Z78">
            <v>-7800000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V-FPEQ"/>
      <sheetName val="JV-Musashi"/>
      <sheetName val="working"/>
      <sheetName val="CONSOL ADJ"/>
      <sheetName val="CONSOL-BS"/>
      <sheetName val="CONSOL-IS"/>
      <sheetName val="CONSOL-CF"/>
      <sheetName val="CONSOL-BS-FPT"/>
      <sheetName val="CONSOL-PL-FPT"/>
      <sheetName val="CONSOL-CF-FPT"/>
      <sheetName val="FPEQ-PL-3'2004"/>
      <sheetName val="FPEQ-BS-3'2004"/>
      <sheetName val="FPT-PL-3'2004"/>
      <sheetName val="FPT-BS-3'2004"/>
      <sheetName val="FPC-PL-3'2004"/>
      <sheetName val="FPC-BS-3'2004"/>
      <sheetName val="ACOU-PL-3'2004"/>
      <sheetName val="ACOU-BS-3'2004"/>
    </sheetNames>
    <sheetDataSet>
      <sheetData sheetId="4">
        <row r="12">
          <cell r="U12">
            <v>52761654.04</v>
          </cell>
        </row>
        <row r="14">
          <cell r="U14">
            <v>0</v>
          </cell>
        </row>
        <row r="19">
          <cell r="U19">
            <v>6560273.5</v>
          </cell>
        </row>
        <row r="23">
          <cell r="U23">
            <v>3755629.71</v>
          </cell>
        </row>
        <row r="27">
          <cell r="U27">
            <v>21833835.71</v>
          </cell>
        </row>
        <row r="28">
          <cell r="U28">
            <v>73726063.19</v>
          </cell>
        </row>
        <row r="29">
          <cell r="U29">
            <v>784736.9000000011</v>
          </cell>
        </row>
        <row r="33">
          <cell r="U33">
            <v>2039108.44</v>
          </cell>
        </row>
        <row r="34">
          <cell r="U34">
            <v>379277.65</v>
          </cell>
        </row>
        <row r="41">
          <cell r="U41">
            <v>8009133.62</v>
          </cell>
        </row>
        <row r="42">
          <cell r="U42">
            <v>11147523.25</v>
          </cell>
        </row>
        <row r="47">
          <cell r="U47">
            <v>23940031.569999997</v>
          </cell>
        </row>
        <row r="48">
          <cell r="U48">
            <v>4483390.16</v>
          </cell>
        </row>
        <row r="50">
          <cell r="U50">
            <v>918393.54</v>
          </cell>
        </row>
        <row r="56">
          <cell r="U56">
            <v>24611</v>
          </cell>
        </row>
        <row r="58">
          <cell r="U58">
            <v>17433649</v>
          </cell>
        </row>
        <row r="68">
          <cell r="U68">
            <v>78000000</v>
          </cell>
        </row>
        <row r="72">
          <cell r="U72">
            <v>4689242.56</v>
          </cell>
        </row>
        <row r="76">
          <cell r="U76">
            <v>307468.4</v>
          </cell>
        </row>
        <row r="78">
          <cell r="U78">
            <v>41398532.719568</v>
          </cell>
        </row>
        <row r="82">
          <cell r="U82">
            <v>6649257.770432</v>
          </cell>
        </row>
        <row r="88">
          <cell r="U88">
            <v>2902000</v>
          </cell>
        </row>
      </sheetData>
      <sheetData sheetId="5">
        <row r="9">
          <cell r="U9">
            <v>44848430.5</v>
          </cell>
        </row>
        <row r="26">
          <cell r="U26">
            <v>207957.11</v>
          </cell>
        </row>
        <row r="37">
          <cell r="U37">
            <v>-1896817.69</v>
          </cell>
        </row>
        <row r="42">
          <cell r="U42">
            <v>-1622386.2000000002</v>
          </cell>
        </row>
        <row r="44">
          <cell r="U44">
            <v>0</v>
          </cell>
        </row>
        <row r="46">
          <cell r="U46">
            <v>868511</v>
          </cell>
        </row>
        <row r="49">
          <cell r="U49">
            <v>864106.7100000009</v>
          </cell>
        </row>
        <row r="57">
          <cell r="U57">
            <v>-809442</v>
          </cell>
        </row>
        <row r="61">
          <cell r="U61">
            <v>-398193.7704319999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"/>
      <sheetName val="cash flow"/>
      <sheetName val="equity"/>
    </sheetNames>
    <sheetDataSet>
      <sheetData sheetId="0">
        <row r="1">
          <cell r="A1" t="str">
            <v>ACOUSTECH BERHAD (496665-W)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2.7109375" style="2" customWidth="1"/>
    <col min="2" max="2" width="44.28125" style="2" customWidth="1"/>
    <col min="3" max="3" width="0.42578125" style="2" customWidth="1"/>
    <col min="4" max="4" width="15.28125" style="46" customWidth="1"/>
    <col min="5" max="5" width="1.1484375" style="3" customWidth="1"/>
    <col min="6" max="6" width="15.28125" style="3" customWidth="1"/>
    <col min="7" max="7" width="1.1484375" style="2" customWidth="1"/>
    <col min="8" max="8" width="17.140625" style="3" customWidth="1"/>
    <col min="9" max="16384" width="9.140625" style="2" customWidth="1"/>
  </cols>
  <sheetData>
    <row r="1" spans="1:8" ht="18.75">
      <c r="A1" s="76" t="s">
        <v>56</v>
      </c>
      <c r="B1" s="76"/>
      <c r="C1" s="76"/>
      <c r="D1" s="76"/>
      <c r="E1" s="76"/>
      <c r="F1" s="76"/>
      <c r="G1" s="76"/>
      <c r="H1" s="5"/>
    </row>
    <row r="2" spans="1:8" ht="11.25" customHeight="1">
      <c r="A2" s="77" t="s">
        <v>57</v>
      </c>
      <c r="B2" s="77"/>
      <c r="C2" s="77"/>
      <c r="D2" s="77"/>
      <c r="E2" s="77"/>
      <c r="F2" s="77"/>
      <c r="G2" s="77"/>
      <c r="H2" s="5"/>
    </row>
    <row r="3" ht="11.25" customHeight="1">
      <c r="H3" s="5"/>
    </row>
    <row r="4" spans="1:8" ht="14.25">
      <c r="A4" s="36" t="s">
        <v>106</v>
      </c>
      <c r="H4" s="5"/>
    </row>
    <row r="5" spans="1:8" ht="12.75">
      <c r="A5" s="37" t="s">
        <v>34</v>
      </c>
      <c r="H5" s="5"/>
    </row>
    <row r="6" ht="12.75">
      <c r="H6" s="5"/>
    </row>
    <row r="7" spans="1:8" ht="12.75">
      <c r="A7" s="19" t="s">
        <v>41</v>
      </c>
      <c r="H7" s="5"/>
    </row>
    <row r="8" spans="2:8" s="55" customFormat="1" ht="12.75">
      <c r="B8" s="60"/>
      <c r="D8" s="61" t="s">
        <v>65</v>
      </c>
      <c r="E8" s="61"/>
      <c r="F8" s="61" t="s">
        <v>66</v>
      </c>
      <c r="H8" s="62"/>
    </row>
    <row r="9" spans="4:8" s="55" customFormat="1" ht="12.75">
      <c r="D9" s="61" t="s">
        <v>0</v>
      </c>
      <c r="E9" s="61"/>
      <c r="F9" s="61" t="s">
        <v>0</v>
      </c>
      <c r="G9" s="60"/>
      <c r="H9" s="63"/>
    </row>
    <row r="10" spans="2:8" ht="12.75">
      <c r="B10" s="1"/>
      <c r="H10" s="5"/>
    </row>
    <row r="11" spans="2:8" ht="12.75">
      <c r="B11" s="2" t="s">
        <v>72</v>
      </c>
      <c r="D11" s="46">
        <f>'[3]CONSOL-BS'!$U$12/1000</f>
        <v>52761.65404</v>
      </c>
      <c r="F11" s="3">
        <f>+'[1]Con.BS'!$AI$12/1000</f>
        <v>49693.086</v>
      </c>
      <c r="H11" s="5"/>
    </row>
    <row r="12" spans="2:8" ht="12.75">
      <c r="B12" s="2" t="s">
        <v>73</v>
      </c>
      <c r="D12" s="46">
        <f>'[3]CONSOL-BS'!$U$14/1000</f>
        <v>0</v>
      </c>
      <c r="F12" s="3">
        <f>+'[1]Con.BS'!$AI$18/1000</f>
        <v>4642.678</v>
      </c>
      <c r="H12" s="5"/>
    </row>
    <row r="13" spans="2:8" ht="12.75">
      <c r="B13" s="13" t="s">
        <v>74</v>
      </c>
      <c r="D13" s="46">
        <f>'[3]CONSOL-BS'!$U$19/1000-188</f>
        <v>6372.2735</v>
      </c>
      <c r="F13" s="3">
        <f>+'[1]Con.BS'!$AI$20/1000</f>
        <v>4362.61</v>
      </c>
      <c r="H13" s="5"/>
    </row>
    <row r="14" spans="2:8" ht="12.75">
      <c r="B14" s="13" t="s">
        <v>75</v>
      </c>
      <c r="D14" s="46">
        <f>'[3]CONSOL-BS'!$U$23/1000</f>
        <v>3755.62971</v>
      </c>
      <c r="F14" s="3">
        <f>+'[1]Con.BS'!$AI$14/1000</f>
        <v>3755.63</v>
      </c>
      <c r="H14" s="5"/>
    </row>
    <row r="15" ht="9.75" customHeight="1">
      <c r="H15" s="5"/>
    </row>
    <row r="16" spans="2:8" ht="12.75">
      <c r="B16" s="2" t="s">
        <v>2</v>
      </c>
      <c r="H16" s="5"/>
    </row>
    <row r="17" spans="2:8" ht="12.75">
      <c r="B17" s="2" t="s">
        <v>3</v>
      </c>
      <c r="D17" s="47">
        <f>'[3]CONSOL-BS'!$U$27/1000</f>
        <v>21833.83571</v>
      </c>
      <c r="E17" s="5"/>
      <c r="F17" s="7">
        <f>+'[1]Con.BS'!$AI$24/1000</f>
        <v>17796.095</v>
      </c>
      <c r="H17" s="5"/>
    </row>
    <row r="18" spans="2:8" ht="12.75">
      <c r="B18" s="2" t="s">
        <v>4</v>
      </c>
      <c r="D18" s="48">
        <f>'[3]CONSOL-BS'!$U$28/1000-1092</f>
        <v>72634.06319</v>
      </c>
      <c r="E18" s="5"/>
      <c r="F18" s="8">
        <f>+'[1]Con.BS'!$AI$25/1000</f>
        <v>60467.136</v>
      </c>
      <c r="H18" s="5"/>
    </row>
    <row r="19" spans="2:8" ht="12.75">
      <c r="B19" s="2" t="s">
        <v>76</v>
      </c>
      <c r="D19" s="48">
        <f>'[3]CONSOL-BS'!$U$29/1000</f>
        <v>784.736900000001</v>
      </c>
      <c r="E19" s="5"/>
      <c r="F19" s="8">
        <f>+'[1]Con.BS'!$AI$26/1000</f>
        <v>2046.384</v>
      </c>
      <c r="H19" s="5"/>
    </row>
    <row r="20" spans="2:8" ht="12.75">
      <c r="B20" s="13" t="s">
        <v>50</v>
      </c>
      <c r="D20" s="48">
        <f>'[3]CONSOL-BS'!$U$34/1000</f>
        <v>379.27765000000005</v>
      </c>
      <c r="E20" s="5"/>
      <c r="F20" s="8">
        <f>+'[1]Con.BS'!$AI$27/1000</f>
        <v>3997.033</v>
      </c>
      <c r="H20" s="5"/>
    </row>
    <row r="21" spans="2:8" ht="12.75">
      <c r="B21" s="2" t="s">
        <v>5</v>
      </c>
      <c r="D21" s="48">
        <f>'[3]CONSOL-BS'!$U$33/1000+680</f>
        <v>2719.10844</v>
      </c>
      <c r="E21" s="5"/>
      <c r="F21" s="8">
        <f>+'[1]Con.BS'!$AI$33/1000</f>
        <v>2355.041</v>
      </c>
      <c r="H21" s="5"/>
    </row>
    <row r="22" spans="2:8" ht="12.75">
      <c r="B22" s="2" t="s">
        <v>6</v>
      </c>
      <c r="D22" s="48">
        <f>'[3]CONSOL-BS'!$U$41/1000</f>
        <v>8009.1336200000005</v>
      </c>
      <c r="E22" s="5"/>
      <c r="F22" s="8">
        <f>+'[1]Con.BS'!$AI$32/1000</f>
        <v>26817.546</v>
      </c>
      <c r="H22" s="5"/>
    </row>
    <row r="23" spans="2:8" ht="12.75">
      <c r="B23" s="2" t="s">
        <v>7</v>
      </c>
      <c r="D23" s="49">
        <f>'[3]CONSOL-BS'!$U$42/1000+447</f>
        <v>11594.52325</v>
      </c>
      <c r="E23" s="5"/>
      <c r="F23" s="9">
        <f>+'[1]Con.BS'!$AI$34/1000</f>
        <v>8470.433</v>
      </c>
      <c r="H23" s="5"/>
    </row>
    <row r="24" spans="4:8" ht="12.75">
      <c r="D24" s="49">
        <f>SUM(D17:D23)</f>
        <v>117954.67876000001</v>
      </c>
      <c r="E24" s="5"/>
      <c r="F24" s="9">
        <f>SUM(F17:F23)-1</f>
        <v>121948.668</v>
      </c>
      <c r="H24" s="5"/>
    </row>
    <row r="25" ht="12.75" customHeight="1">
      <c r="H25" s="5"/>
    </row>
    <row r="26" spans="2:8" ht="12.75">
      <c r="B26" s="2" t="s">
        <v>8</v>
      </c>
      <c r="E26" s="5"/>
      <c r="F26" s="6"/>
      <c r="H26" s="5"/>
    </row>
    <row r="27" spans="2:8" ht="12.75">
      <c r="B27" s="2" t="s">
        <v>9</v>
      </c>
      <c r="D27" s="47">
        <f>'[3]CONSOL-BS'!$U$47/1000-1092</f>
        <v>22848.031569999996</v>
      </c>
      <c r="E27" s="5"/>
      <c r="F27" s="7">
        <f>+'[1]Con.BS'!$AI$39/1000</f>
        <v>18448.219</v>
      </c>
      <c r="H27" s="5"/>
    </row>
    <row r="28" spans="2:8" ht="12.75">
      <c r="B28" s="2" t="s">
        <v>10</v>
      </c>
      <c r="D28" s="48">
        <f>('[3]CONSOL-BS'!$U$48+'[3]CONSOL-BS'!$U$56)/1000+0.5+196</f>
        <v>4704.50116</v>
      </c>
      <c r="E28" s="5"/>
      <c r="F28" s="8">
        <f>+'[1]Con.BS'!$AI$40/1000</f>
        <v>4507.905</v>
      </c>
      <c r="H28" s="5"/>
    </row>
    <row r="29" spans="2:8" ht="12.75">
      <c r="B29" s="13" t="s">
        <v>51</v>
      </c>
      <c r="D29" s="48">
        <f>'[3]CONSOL-BS'!$U$50/1000</f>
        <v>918.39354</v>
      </c>
      <c r="E29" s="5"/>
      <c r="F29" s="8">
        <f>+'[1]Con.BS'!$AI$41/1000</f>
        <v>347.731</v>
      </c>
      <c r="H29" s="5"/>
    </row>
    <row r="30" spans="2:8" ht="12.75">
      <c r="B30" s="2" t="s">
        <v>124</v>
      </c>
      <c r="D30" s="48">
        <v>3900</v>
      </c>
      <c r="E30" s="5"/>
      <c r="F30" s="48">
        <f>'[3]CONSOL-BS'!$U$14/1000</f>
        <v>0</v>
      </c>
      <c r="H30" s="5"/>
    </row>
    <row r="31" spans="2:8" ht="12.75">
      <c r="B31" s="2" t="s">
        <v>38</v>
      </c>
      <c r="D31" s="49">
        <f>'[3]CONSOL-BS'!$U$58/1000-0.5+447</f>
        <v>17880.149</v>
      </c>
      <c r="E31" s="5"/>
      <c r="F31" s="35">
        <f>+'[1]Con.BS'!$AI$46/1000</f>
        <v>28926.025</v>
      </c>
      <c r="H31" s="5"/>
    </row>
    <row r="32" spans="4:8" ht="12.75">
      <c r="D32" s="49">
        <f>SUM(D27:D31)</f>
        <v>50251.07527</v>
      </c>
      <c r="E32" s="5"/>
      <c r="F32" s="9">
        <f>SUM(F27:F31)</f>
        <v>52229.880000000005</v>
      </c>
      <c r="H32" s="5"/>
    </row>
    <row r="33" ht="3.75" customHeight="1">
      <c r="H33" s="5"/>
    </row>
    <row r="34" spans="2:8" ht="15" customHeight="1">
      <c r="B34" s="2" t="s">
        <v>11</v>
      </c>
      <c r="D34" s="50">
        <f>+D24-D32+0.5</f>
        <v>67704.10349000001</v>
      </c>
      <c r="E34" s="5"/>
      <c r="F34" s="6">
        <f>+F24-F32</f>
        <v>69718.788</v>
      </c>
      <c r="H34" s="5"/>
    </row>
    <row r="35" spans="4:8" ht="15" customHeight="1" thickBot="1">
      <c r="D35" s="51">
        <f>+D34+D11+D12+D13+D14</f>
        <v>130593.66073999999</v>
      </c>
      <c r="E35" s="5"/>
      <c r="F35" s="10">
        <f>+F34+F11+F12+F13+F14+1</f>
        <v>132173.79200000002</v>
      </c>
      <c r="H35" s="5"/>
    </row>
    <row r="36" ht="13.5" thickTop="1">
      <c r="H36" s="5"/>
    </row>
    <row r="37" ht="0.75" customHeight="1">
      <c r="H37" s="5"/>
    </row>
    <row r="38" spans="2:8" ht="12.75">
      <c r="B38" s="1" t="s">
        <v>12</v>
      </c>
      <c r="H38" s="5"/>
    </row>
    <row r="39" spans="2:8" ht="12.75">
      <c r="B39" s="2" t="s">
        <v>13</v>
      </c>
      <c r="D39" s="46">
        <f>'[3]CONSOL-BS'!$U$68/1000</f>
        <v>78000</v>
      </c>
      <c r="E39" s="5"/>
      <c r="F39" s="3">
        <f>+'[1]Con.BS'!$AI$56/1000</f>
        <v>78000</v>
      </c>
      <c r="H39" s="5"/>
    </row>
    <row r="40" spans="5:8" ht="7.5" customHeight="1">
      <c r="E40" s="5"/>
      <c r="H40" s="5"/>
    </row>
    <row r="41" spans="2:8" ht="12.75">
      <c r="B41" s="2" t="s">
        <v>91</v>
      </c>
      <c r="D41" s="47"/>
      <c r="E41" s="5"/>
      <c r="F41" s="7"/>
      <c r="H41" s="5"/>
    </row>
    <row r="42" spans="2:8" ht="12.75">
      <c r="B42" s="13" t="s">
        <v>47</v>
      </c>
      <c r="D42" s="48">
        <f>'[3]CONSOL-BS'!$U$78/1000-3900-196+405-6240</f>
        <v>31467.532719568</v>
      </c>
      <c r="E42" s="5"/>
      <c r="F42" s="8">
        <f>equity!J52</f>
        <v>30540</v>
      </c>
      <c r="H42" s="5"/>
    </row>
    <row r="43" spans="2:8" ht="12.75">
      <c r="B43" s="15" t="s">
        <v>107</v>
      </c>
      <c r="D43" s="48">
        <f>equity!L31</f>
        <v>6240</v>
      </c>
      <c r="E43" s="5"/>
      <c r="F43" s="8">
        <f>equity!L50</f>
        <v>7800</v>
      </c>
      <c r="H43" s="5"/>
    </row>
    <row r="44" spans="2:8" ht="12.75">
      <c r="B44" s="2" t="s">
        <v>14</v>
      </c>
      <c r="D44" s="48">
        <f>'[3]CONSOL-BS'!$U$72/1000</f>
        <v>4689.24256</v>
      </c>
      <c r="E44" s="5"/>
      <c r="F44" s="8">
        <f>+'[1]Con.BS'!$AI$58/1000</f>
        <v>4689.243</v>
      </c>
      <c r="H44" s="5"/>
    </row>
    <row r="45" spans="2:8" ht="12.75">
      <c r="B45" s="13" t="s">
        <v>48</v>
      </c>
      <c r="D45" s="49">
        <f>'[3]CONSOL-BS'!$U$76/1000</f>
        <v>307.46840000000003</v>
      </c>
      <c r="E45" s="5"/>
      <c r="F45" s="9">
        <f>+'[1]Con.BS'!$AI$62/1000</f>
        <v>320.056</v>
      </c>
      <c r="H45" s="5"/>
    </row>
    <row r="46" spans="4:8" ht="12.75">
      <c r="D46" s="52">
        <f>SUM(D42:D45)</f>
        <v>42704.243679568</v>
      </c>
      <c r="E46" s="5"/>
      <c r="F46" s="34">
        <f>SUM(F42:F45)</f>
        <v>43349.299</v>
      </c>
      <c r="H46" s="5"/>
    </row>
    <row r="47" spans="2:8" ht="15" customHeight="1">
      <c r="B47" s="13" t="s">
        <v>92</v>
      </c>
      <c r="D47" s="53">
        <f>+D46+D39</f>
        <v>120704.243679568</v>
      </c>
      <c r="E47" s="5"/>
      <c r="F47" s="5">
        <f>+F46+F39</f>
        <v>121349.299</v>
      </c>
      <c r="H47" s="5"/>
    </row>
    <row r="48" spans="2:8" ht="15" customHeight="1">
      <c r="B48" s="15" t="s">
        <v>52</v>
      </c>
      <c r="D48" s="46">
        <f>'[3]CONSOL-BS'!$U$82/1000+0.5+91</f>
        <v>6740.757770432</v>
      </c>
      <c r="E48" s="5"/>
      <c r="F48" s="5">
        <f>+'[1]Con.BS'!$AI$68/1000+0.5</f>
        <v>5412.104</v>
      </c>
      <c r="H48" s="5"/>
    </row>
    <row r="49" spans="2:8" ht="12.75">
      <c r="B49" s="2" t="s">
        <v>15</v>
      </c>
      <c r="H49" s="5"/>
    </row>
    <row r="50" spans="2:8" ht="12.75">
      <c r="B50" s="2" t="s">
        <v>16</v>
      </c>
      <c r="D50" s="46">
        <v>251</v>
      </c>
      <c r="F50" s="18">
        <f>+'[1]Con.BS'!$AI$72/1000</f>
        <v>2511.2</v>
      </c>
      <c r="H50" s="5"/>
    </row>
    <row r="51" spans="2:8" ht="12.75">
      <c r="B51" s="2" t="s">
        <v>17</v>
      </c>
      <c r="D51" s="46">
        <f>'[3]CONSOL-BS'!$U$88/1000-4</f>
        <v>2898</v>
      </c>
      <c r="F51" s="3">
        <f>+'[1]Con.BS'!$AI$73/1000</f>
        <v>2902</v>
      </c>
      <c r="H51" s="5"/>
    </row>
    <row r="52" spans="4:8" ht="13.5" thickBot="1">
      <c r="D52" s="51">
        <f>SUM(D47:D51)</f>
        <v>130594.00145</v>
      </c>
      <c r="E52" s="5"/>
      <c r="F52" s="10">
        <f>SUM(F47:F51)-1</f>
        <v>132173.603</v>
      </c>
      <c r="H52" s="5"/>
    </row>
    <row r="53" ht="8.25" customHeight="1" thickTop="1">
      <c r="H53" s="5"/>
    </row>
    <row r="54" spans="2:8" ht="12.75">
      <c r="B54" s="2" t="s">
        <v>18</v>
      </c>
      <c r="D54" s="54">
        <f>+D47/D39</f>
        <v>1.5474903035842051</v>
      </c>
      <c r="E54" s="11"/>
      <c r="F54" s="11">
        <f>+F47/F39</f>
        <v>1.5557602435897435</v>
      </c>
      <c r="H54" s="5"/>
    </row>
    <row r="55" ht="12.75">
      <c r="H55" s="5"/>
    </row>
    <row r="56" spans="2:8" ht="12.75">
      <c r="B56" s="64" t="s">
        <v>122</v>
      </c>
      <c r="H56" s="5"/>
    </row>
    <row r="57" spans="2:8" ht="12.75">
      <c r="B57" s="64" t="s">
        <v>108</v>
      </c>
      <c r="H57" s="5"/>
    </row>
    <row r="58" ht="12.75">
      <c r="D58" s="54"/>
    </row>
    <row r="61" ht="12.75">
      <c r="D61" s="44"/>
    </row>
  </sheetData>
  <mergeCells count="2">
    <mergeCell ref="A1:G1"/>
    <mergeCell ref="A2:G2"/>
  </mergeCells>
  <printOptions/>
  <pageMargins left="1.3" right="0.5" top="0.88" bottom="0.5" header="0.25" footer="0.25"/>
  <pageSetup horizontalDpi="180" verticalDpi="180" orientation="portrait" paperSize="9" scale="95" r:id="rId1"/>
  <headerFooter alignWithMargins="0">
    <oddFooter>&amp;C&amp;"Times New Roman,Italic"&amp;8- Page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3"/>
  <sheetViews>
    <sheetView workbookViewId="0" topLeftCell="A1">
      <selection activeCell="B11" sqref="B11"/>
    </sheetView>
  </sheetViews>
  <sheetFormatPr defaultColWidth="9.140625" defaultRowHeight="12.75"/>
  <cols>
    <col min="1" max="1" width="3.00390625" style="2" customWidth="1"/>
    <col min="2" max="2" width="36.140625" style="2" customWidth="1"/>
    <col min="3" max="3" width="0.5625" style="2" customWidth="1"/>
    <col min="4" max="4" width="12.7109375" style="18" customWidth="1"/>
    <col min="5" max="5" width="0.85546875" style="17" customWidth="1"/>
    <col min="6" max="6" width="12.7109375" style="18" customWidth="1"/>
    <col min="7" max="7" width="0.85546875" style="17" customWidth="1"/>
    <col min="8" max="8" width="12.7109375" style="17" customWidth="1"/>
    <col min="9" max="9" width="0.85546875" style="17" customWidth="1"/>
    <col min="10" max="10" width="12.7109375" style="18" customWidth="1"/>
    <col min="11" max="11" width="0.85546875" style="2" customWidth="1"/>
    <col min="12" max="16384" width="9.140625" style="2" customWidth="1"/>
  </cols>
  <sheetData>
    <row r="1" spans="1:10" ht="18.75">
      <c r="A1" s="80" t="str">
        <f>+'balance sheet'!A1</f>
        <v>ACOUSTECH BERHAD (496665-W)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2.75">
      <c r="A2" s="77" t="s">
        <v>57</v>
      </c>
      <c r="B2" s="81"/>
      <c r="C2" s="81"/>
      <c r="D2" s="81"/>
      <c r="E2" s="81"/>
      <c r="F2" s="81"/>
      <c r="G2" s="81"/>
      <c r="H2" s="81"/>
      <c r="I2" s="81"/>
      <c r="J2" s="81"/>
    </row>
    <row r="4" ht="14.25">
      <c r="A4" s="36" t="s">
        <v>106</v>
      </c>
    </row>
    <row r="5" ht="12.75">
      <c r="A5" s="37" t="s">
        <v>34</v>
      </c>
    </row>
    <row r="6" spans="4:8" ht="12.75">
      <c r="D6" s="29"/>
      <c r="H6" s="20"/>
    </row>
    <row r="7" spans="1:8" ht="12.75">
      <c r="A7" s="19" t="s">
        <v>40</v>
      </c>
      <c r="D7" s="29"/>
      <c r="H7" s="20"/>
    </row>
    <row r="8" spans="4:8" ht="12.75">
      <c r="D8" s="29"/>
      <c r="F8" s="2"/>
      <c r="H8" s="20"/>
    </row>
    <row r="9" spans="4:10" ht="12.75">
      <c r="D9" s="78" t="s">
        <v>70</v>
      </c>
      <c r="E9" s="78"/>
      <c r="F9" s="78"/>
      <c r="G9" s="30"/>
      <c r="H9" s="79" t="s">
        <v>123</v>
      </c>
      <c r="I9" s="79"/>
      <c r="J9" s="79"/>
    </row>
    <row r="10" spans="4:10" s="55" customFormat="1" ht="12.75">
      <c r="D10" s="56" t="s">
        <v>35</v>
      </c>
      <c r="E10" s="57"/>
      <c r="F10" s="56" t="s">
        <v>60</v>
      </c>
      <c r="G10" s="57"/>
      <c r="H10" s="57" t="s">
        <v>35</v>
      </c>
      <c r="I10" s="57"/>
      <c r="J10" s="56" t="s">
        <v>60</v>
      </c>
    </row>
    <row r="11" spans="4:10" s="55" customFormat="1" ht="12.75">
      <c r="D11" s="56" t="s">
        <v>58</v>
      </c>
      <c r="E11" s="57"/>
      <c r="F11" s="56" t="s">
        <v>61</v>
      </c>
      <c r="G11" s="57"/>
      <c r="H11" s="57" t="s">
        <v>58</v>
      </c>
      <c r="I11" s="57"/>
      <c r="J11" s="56" t="s">
        <v>63</v>
      </c>
    </row>
    <row r="12" spans="4:10" s="55" customFormat="1" ht="12.75">
      <c r="D12" s="56" t="s">
        <v>59</v>
      </c>
      <c r="E12" s="57"/>
      <c r="F12" s="56" t="s">
        <v>59</v>
      </c>
      <c r="G12" s="57"/>
      <c r="H12" s="57" t="s">
        <v>62</v>
      </c>
      <c r="I12" s="57"/>
      <c r="J12" s="56" t="s">
        <v>64</v>
      </c>
    </row>
    <row r="13" spans="4:10" ht="12.75">
      <c r="D13" s="22"/>
      <c r="E13" s="21"/>
      <c r="F13" s="22"/>
      <c r="G13" s="21"/>
      <c r="H13" s="21"/>
      <c r="I13" s="21"/>
      <c r="J13" s="22"/>
    </row>
    <row r="14" spans="4:10" s="55" customFormat="1" ht="12.75">
      <c r="D14" s="56" t="s">
        <v>65</v>
      </c>
      <c r="E14" s="57"/>
      <c r="F14" s="56" t="s">
        <v>66</v>
      </c>
      <c r="G14" s="57"/>
      <c r="H14" s="57" t="s">
        <v>65</v>
      </c>
      <c r="I14" s="57"/>
      <c r="J14" s="56" t="s">
        <v>66</v>
      </c>
    </row>
    <row r="15" spans="4:10" s="55" customFormat="1" ht="12.75">
      <c r="D15" s="56" t="s">
        <v>0</v>
      </c>
      <c r="E15" s="57"/>
      <c r="F15" s="56" t="s">
        <v>0</v>
      </c>
      <c r="G15" s="57"/>
      <c r="H15" s="56" t="s">
        <v>0</v>
      </c>
      <c r="I15" s="57"/>
      <c r="J15" s="56" t="s">
        <v>0</v>
      </c>
    </row>
    <row r="16" spans="4:10" ht="12.75">
      <c r="D16" s="31"/>
      <c r="E16" s="23"/>
      <c r="F16" s="31"/>
      <c r="G16" s="23"/>
      <c r="H16" s="23"/>
      <c r="I16" s="23"/>
      <c r="J16" s="31"/>
    </row>
    <row r="17" spans="2:10" ht="12.75">
      <c r="B17" s="2" t="s">
        <v>1</v>
      </c>
      <c r="D17" s="38">
        <f>'[3]CONSOL-IS'!$U$9/1000</f>
        <v>44848.4305</v>
      </c>
      <c r="E17" s="32"/>
      <c r="F17" s="24">
        <v>33573</v>
      </c>
      <c r="G17" s="32"/>
      <c r="H17" s="38">
        <f>+D17+175141</f>
        <v>219989.43050000002</v>
      </c>
      <c r="I17" s="32"/>
      <c r="J17" s="24">
        <v>177121</v>
      </c>
    </row>
    <row r="18" spans="4:10" ht="12.75">
      <c r="D18" s="39"/>
      <c r="E18" s="28"/>
      <c r="F18" s="25"/>
      <c r="G18" s="28"/>
      <c r="H18" s="39"/>
      <c r="I18" s="28"/>
      <c r="J18" s="25"/>
    </row>
    <row r="19" spans="2:10" ht="12.75">
      <c r="B19" s="2" t="s">
        <v>69</v>
      </c>
      <c r="D19" s="40">
        <f>+D25-D23-D17-D21+1</f>
        <v>-43218.49148</v>
      </c>
      <c r="E19" s="28"/>
      <c r="F19" s="33">
        <f>+F25-F23-F17-F21</f>
        <v>-34548</v>
      </c>
      <c r="G19" s="28"/>
      <c r="H19" s="40">
        <f>+H25-H23-H17-H21+0.5</f>
        <v>-205443.49148000003</v>
      </c>
      <c r="I19" s="28"/>
      <c r="J19" s="33">
        <f>+J25-J23-J17-J21</f>
        <v>-168748</v>
      </c>
    </row>
    <row r="20" spans="4:10" ht="12.75">
      <c r="D20" s="40"/>
      <c r="E20" s="28"/>
      <c r="F20" s="33"/>
      <c r="G20" s="28"/>
      <c r="H20" s="38"/>
      <c r="I20" s="28"/>
      <c r="J20" s="33"/>
    </row>
    <row r="21" spans="2:10" ht="12.75">
      <c r="B21" s="2" t="s">
        <v>68</v>
      </c>
      <c r="D21" s="40">
        <f>'[3]CONSOL-IS'!$U$37/1000</f>
        <v>-1896.8176899999999</v>
      </c>
      <c r="E21" s="28"/>
      <c r="F21" s="33">
        <v>0</v>
      </c>
      <c r="G21" s="28"/>
      <c r="H21" s="38">
        <f>D21</f>
        <v>-1896.8176899999999</v>
      </c>
      <c r="I21" s="28"/>
      <c r="J21" s="33">
        <v>0</v>
      </c>
    </row>
    <row r="22" spans="4:10" ht="12.75">
      <c r="D22" s="39"/>
      <c r="E22" s="28"/>
      <c r="F22" s="25"/>
      <c r="G22" s="28"/>
      <c r="H22" s="39"/>
      <c r="I22" s="28"/>
      <c r="J22" s="25"/>
    </row>
    <row r="23" spans="1:10" ht="12.75">
      <c r="A23" s="4"/>
      <c r="B23" s="2" t="s">
        <v>109</v>
      </c>
      <c r="D23" s="41">
        <f>('[3]CONSOL-IS'!$U$42-'[3]CONSOL-IS'!$U$37)/1000</f>
        <v>274.43148999999977</v>
      </c>
      <c r="E23" s="28"/>
      <c r="F23" s="26">
        <v>657</v>
      </c>
      <c r="G23" s="28"/>
      <c r="H23" s="43">
        <f>+D23+784</f>
        <v>1058.4314899999997</v>
      </c>
      <c r="I23" s="28"/>
      <c r="J23" s="26">
        <v>1841</v>
      </c>
    </row>
    <row r="24" spans="2:10" ht="12.75">
      <c r="B24" s="2" t="s">
        <v>43</v>
      </c>
      <c r="D24" s="39"/>
      <c r="F24" s="25"/>
      <c r="H24" s="44"/>
      <c r="J24" s="25"/>
    </row>
    <row r="25" spans="2:10" ht="12.75">
      <c r="B25" s="15" t="s">
        <v>110</v>
      </c>
      <c r="D25" s="39">
        <f>+D33-D27-D29-D31-1</f>
        <v>6.55282000000102</v>
      </c>
      <c r="F25" s="25">
        <f>+F33-F27-F29-F31</f>
        <v>-318</v>
      </c>
      <c r="H25" s="39">
        <f>+H33-H27-H29-H31-0.5</f>
        <v>13707.052819999999</v>
      </c>
      <c r="J25" s="25">
        <f>+J33-J27-J29-J31</f>
        <v>10214</v>
      </c>
    </row>
    <row r="26" spans="4:10" ht="12.75">
      <c r="D26" s="39"/>
      <c r="F26" s="25"/>
      <c r="H26" s="44"/>
      <c r="J26" s="25"/>
    </row>
    <row r="27" spans="2:59" ht="12.75">
      <c r="B27" s="13" t="s">
        <v>20</v>
      </c>
      <c r="D27" s="39">
        <f>-'[3]CONSOL-IS'!$U$26/1000</f>
        <v>-207.95711</v>
      </c>
      <c r="E27" s="28"/>
      <c r="F27" s="25">
        <v>-241</v>
      </c>
      <c r="G27" s="28"/>
      <c r="H27" s="38">
        <f>+D27-810</f>
        <v>-1017.9571100000001</v>
      </c>
      <c r="I27" s="28"/>
      <c r="J27" s="25">
        <v>-1187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4:59" ht="12.75">
      <c r="D28" s="39"/>
      <c r="E28" s="28"/>
      <c r="F28" s="25"/>
      <c r="G28" s="28"/>
      <c r="H28" s="39"/>
      <c r="I28" s="28"/>
      <c r="J28" s="25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ht="12.75">
      <c r="A29" s="4"/>
      <c r="B29" s="13" t="s">
        <v>21</v>
      </c>
      <c r="D29" s="39">
        <f>'[3]CONSOL-IS'!$U$44</f>
        <v>0</v>
      </c>
      <c r="E29" s="28"/>
      <c r="F29" s="25">
        <v>403</v>
      </c>
      <c r="G29" s="28"/>
      <c r="H29" s="38">
        <f>+D29+677</f>
        <v>677</v>
      </c>
      <c r="I29" s="28"/>
      <c r="J29" s="25">
        <v>1278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4:59" ht="12.75">
      <c r="D30" s="39"/>
      <c r="E30" s="28"/>
      <c r="F30" s="25"/>
      <c r="G30" s="28"/>
      <c r="H30" s="39"/>
      <c r="I30" s="28"/>
      <c r="J30" s="2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2:59" ht="12.75">
      <c r="B31" s="13" t="s">
        <v>49</v>
      </c>
      <c r="D31" s="42">
        <f>'[3]CONSOL-IS'!$U$46/1000</f>
        <v>868.511</v>
      </c>
      <c r="E31" s="28"/>
      <c r="F31" s="26">
        <v>272</v>
      </c>
      <c r="G31" s="28"/>
      <c r="H31" s="43">
        <f>+D31+2009</f>
        <v>2877.511</v>
      </c>
      <c r="I31" s="28"/>
      <c r="J31" s="26">
        <v>482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4:59" ht="12.75">
      <c r="D32" s="39"/>
      <c r="E32" s="28"/>
      <c r="F32" s="25"/>
      <c r="G32" s="28"/>
      <c r="H32" s="39"/>
      <c r="I32" s="28"/>
      <c r="J32" s="25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2:59" ht="12.75">
      <c r="B33" s="13" t="s">
        <v>71</v>
      </c>
      <c r="D33" s="39">
        <f>'[3]CONSOL-IS'!$U$49/1000-196</f>
        <v>668.1067100000009</v>
      </c>
      <c r="E33" s="28"/>
      <c r="F33" s="25">
        <v>116</v>
      </c>
      <c r="G33" s="28"/>
      <c r="H33" s="39">
        <f>+D33+15576</f>
        <v>16244.10671</v>
      </c>
      <c r="I33" s="28"/>
      <c r="J33" s="25">
        <v>10787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4:59" ht="12.75">
      <c r="D34" s="39"/>
      <c r="E34" s="28"/>
      <c r="F34" s="25"/>
      <c r="G34" s="28"/>
      <c r="H34" s="38"/>
      <c r="I34" s="28"/>
      <c r="J34" s="25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2:10" ht="12.75">
      <c r="B35" s="2" t="s">
        <v>19</v>
      </c>
      <c r="D35" s="41">
        <f>'[3]CONSOL-IS'!$U$57/1000+496</f>
        <v>-313.442</v>
      </c>
      <c r="F35" s="26">
        <f>-164-1</f>
        <v>-165</v>
      </c>
      <c r="H35" s="41">
        <f>+D35-4256</f>
        <v>-4569.442</v>
      </c>
      <c r="J35" s="26">
        <f>-2898-1</f>
        <v>-2899</v>
      </c>
    </row>
    <row r="36" spans="4:10" ht="12.75">
      <c r="D36" s="39"/>
      <c r="E36" s="28"/>
      <c r="F36" s="25"/>
      <c r="G36" s="28"/>
      <c r="H36" s="38"/>
      <c r="I36" s="28"/>
      <c r="J36" s="25"/>
    </row>
    <row r="37" spans="2:10" ht="12.75">
      <c r="B37" s="13" t="s">
        <v>78</v>
      </c>
      <c r="D37" s="39">
        <f>+D33+D35</f>
        <v>354.6647100000009</v>
      </c>
      <c r="E37" s="28"/>
      <c r="F37" s="25">
        <f>+F33+F35</f>
        <v>-49</v>
      </c>
      <c r="G37" s="28"/>
      <c r="H37" s="39">
        <f>+H33+H35</f>
        <v>11674.664710000001</v>
      </c>
      <c r="I37" s="28"/>
      <c r="J37" s="25">
        <f>+J33+J35</f>
        <v>7888</v>
      </c>
    </row>
    <row r="38" spans="4:10" ht="12.75">
      <c r="D38" s="39"/>
      <c r="E38" s="28"/>
      <c r="F38" s="25"/>
      <c r="G38" s="28"/>
      <c r="H38" s="38"/>
      <c r="I38" s="28"/>
      <c r="J38" s="25"/>
    </row>
    <row r="39" spans="2:10" ht="12.75">
      <c r="B39" s="13" t="s">
        <v>52</v>
      </c>
      <c r="D39" s="41">
        <f>'[3]CONSOL-IS'!$U$61/1000-0.5-91</f>
        <v>-489.6937704319999</v>
      </c>
      <c r="E39" s="28"/>
      <c r="F39" s="26">
        <v>34</v>
      </c>
      <c r="G39" s="28"/>
      <c r="H39" s="41">
        <f>+D39-118+0.5</f>
        <v>-607.1937704319998</v>
      </c>
      <c r="I39" s="28"/>
      <c r="J39" s="26">
        <v>34</v>
      </c>
    </row>
    <row r="40" spans="4:10" ht="12.75">
      <c r="D40" s="39"/>
      <c r="E40" s="28"/>
      <c r="F40" s="25"/>
      <c r="G40" s="28"/>
      <c r="H40" s="39"/>
      <c r="I40" s="28"/>
      <c r="J40" s="25"/>
    </row>
    <row r="41" spans="1:10" ht="13.5" thickBot="1">
      <c r="A41" s="13"/>
      <c r="B41" s="2" t="s">
        <v>77</v>
      </c>
      <c r="D41" s="67">
        <f>+D37+D39</f>
        <v>-135.02906043199897</v>
      </c>
      <c r="E41" s="28"/>
      <c r="F41" s="68">
        <f>+F37+F39</f>
        <v>-15</v>
      </c>
      <c r="G41" s="28"/>
      <c r="H41" s="69">
        <f>+H37+H39+1</f>
        <v>11068.470939568</v>
      </c>
      <c r="I41" s="28"/>
      <c r="J41" s="68">
        <f>+J37+J39</f>
        <v>7922</v>
      </c>
    </row>
    <row r="42" spans="4:10" ht="12.75">
      <c r="D42" s="39"/>
      <c r="E42" s="28"/>
      <c r="F42" s="25"/>
      <c r="G42" s="28"/>
      <c r="H42" s="39"/>
      <c r="I42" s="28"/>
      <c r="J42" s="25"/>
    </row>
    <row r="43" spans="2:10" ht="12.75">
      <c r="B43" s="2" t="s">
        <v>37</v>
      </c>
      <c r="D43" s="39"/>
      <c r="E43" s="28"/>
      <c r="F43" s="25"/>
      <c r="G43" s="28"/>
      <c r="H43" s="39"/>
      <c r="I43" s="28"/>
      <c r="J43" s="25" t="s">
        <v>53</v>
      </c>
    </row>
    <row r="44" spans="2:10" ht="13.5" thickBot="1">
      <c r="B44" s="15" t="s">
        <v>67</v>
      </c>
      <c r="D44" s="45">
        <f>+D41/78000*100</f>
        <v>-0.1731141800410243</v>
      </c>
      <c r="E44" s="28"/>
      <c r="F44" s="27">
        <f>+F41/78000*100</f>
        <v>-0.019230769230769232</v>
      </c>
      <c r="G44" s="28"/>
      <c r="H44" s="45">
        <f>+H41/78000*100</f>
        <v>14.190347358420514</v>
      </c>
      <c r="I44" s="28"/>
      <c r="J44" s="27">
        <f>+J41/78000*100</f>
        <v>10.156410256410256</v>
      </c>
    </row>
    <row r="45" spans="2:10" ht="13.5" thickBot="1">
      <c r="B45" s="15" t="s">
        <v>111</v>
      </c>
      <c r="D45" s="66" t="s">
        <v>112</v>
      </c>
      <c r="E45" s="28"/>
      <c r="F45" s="65" t="s">
        <v>112</v>
      </c>
      <c r="G45" s="28"/>
      <c r="H45" s="66" t="s">
        <v>112</v>
      </c>
      <c r="I45" s="28"/>
      <c r="J45" s="65" t="s">
        <v>112</v>
      </c>
    </row>
    <row r="46" spans="4:10" ht="12.75">
      <c r="D46" s="25"/>
      <c r="E46" s="28"/>
      <c r="F46" s="25"/>
      <c r="G46" s="28"/>
      <c r="H46" s="25"/>
      <c r="I46" s="28"/>
      <c r="J46" s="25"/>
    </row>
    <row r="47" spans="2:10" ht="12.75">
      <c r="B47" s="64" t="s">
        <v>122</v>
      </c>
      <c r="D47" s="25"/>
      <c r="E47" s="28"/>
      <c r="F47" s="25"/>
      <c r="G47" s="28"/>
      <c r="H47" s="25"/>
      <c r="I47" s="28"/>
      <c r="J47" s="25"/>
    </row>
    <row r="48" spans="2:10" ht="12.75">
      <c r="B48" s="64" t="s">
        <v>108</v>
      </c>
      <c r="D48" s="25"/>
      <c r="E48" s="28"/>
      <c r="F48" s="25"/>
      <c r="G48" s="28"/>
      <c r="H48" s="25"/>
      <c r="I48" s="28"/>
      <c r="J48" s="25"/>
    </row>
    <row r="49" spans="4:10" ht="12.75">
      <c r="D49" s="25"/>
      <c r="E49" s="28"/>
      <c r="F49" s="25"/>
      <c r="G49" s="28"/>
      <c r="H49" s="25"/>
      <c r="I49" s="28"/>
      <c r="J49" s="25"/>
    </row>
    <row r="50" spans="4:10" ht="12.75">
      <c r="D50" s="25"/>
      <c r="E50" s="28"/>
      <c r="F50" s="25"/>
      <c r="G50" s="28"/>
      <c r="H50" s="28"/>
      <c r="I50" s="28"/>
      <c r="J50" s="25"/>
    </row>
    <row r="51" spans="4:10" ht="12.75">
      <c r="D51" s="25"/>
      <c r="E51" s="28"/>
      <c r="F51" s="25"/>
      <c r="G51" s="28"/>
      <c r="H51" s="25"/>
      <c r="I51" s="28"/>
      <c r="J51" s="25"/>
    </row>
    <row r="52" spans="4:10" ht="12.75">
      <c r="D52" s="25"/>
      <c r="E52" s="28"/>
      <c r="F52" s="25"/>
      <c r="G52" s="28"/>
      <c r="H52" s="25"/>
      <c r="I52" s="28"/>
      <c r="J52" s="25"/>
    </row>
    <row r="53" spans="4:10" ht="12.75">
      <c r="D53" s="25"/>
      <c r="E53" s="28"/>
      <c r="F53" s="25"/>
      <c r="G53" s="28"/>
      <c r="H53" s="25"/>
      <c r="I53" s="28"/>
      <c r="J53" s="25"/>
    </row>
  </sheetData>
  <mergeCells count="4">
    <mergeCell ref="D9:F9"/>
    <mergeCell ref="H9:J9"/>
    <mergeCell ref="A1:J1"/>
    <mergeCell ref="A2:J2"/>
  </mergeCells>
  <printOptions/>
  <pageMargins left="0.81" right="0.41" top="1.5" bottom="0.5" header="0.25" footer="0.25"/>
  <pageSetup fitToHeight="1" fitToWidth="1" horizontalDpi="180" verticalDpi="180" orientation="portrait" paperSize="9" scale="97" r:id="rId1"/>
  <headerFooter alignWithMargins="0">
    <oddFooter>&amp;C&amp;"Times New Roman,Italic"&amp;8- Page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7">
      <selection activeCell="D44" sqref="D44"/>
    </sheetView>
  </sheetViews>
  <sheetFormatPr defaultColWidth="9.140625" defaultRowHeight="12.75"/>
  <cols>
    <col min="1" max="1" width="2.140625" style="2" customWidth="1"/>
    <col min="2" max="2" width="46.421875" style="2" customWidth="1"/>
    <col min="3" max="3" width="5.7109375" style="2" customWidth="1"/>
    <col min="4" max="4" width="15.7109375" style="3" customWidth="1"/>
    <col min="5" max="5" width="1.421875" style="2" customWidth="1"/>
    <col min="6" max="6" width="15.7109375" style="3" customWidth="1"/>
    <col min="7" max="16384" width="9.140625" style="2" customWidth="1"/>
  </cols>
  <sheetData>
    <row r="1" spans="1:6" ht="18.75">
      <c r="A1" s="80" t="str">
        <f>+'[4]balance sheet'!A1</f>
        <v>ACOUSTECH BERHAD (496665-W)</v>
      </c>
      <c r="B1" s="80"/>
      <c r="C1" s="80"/>
      <c r="D1" s="80"/>
      <c r="E1" s="80"/>
      <c r="F1" s="80"/>
    </row>
    <row r="2" spans="1:6" ht="12.75">
      <c r="A2" s="77" t="s">
        <v>57</v>
      </c>
      <c r="B2" s="77"/>
      <c r="C2" s="77"/>
      <c r="D2" s="77"/>
      <c r="E2" s="77"/>
      <c r="F2" s="77"/>
    </row>
    <row r="3" spans="1:6" ht="12.75">
      <c r="A3" s="75"/>
      <c r="B3" s="75"/>
      <c r="C3" s="75"/>
      <c r="D3" s="75"/>
      <c r="E3" s="75"/>
      <c r="F3" s="75"/>
    </row>
    <row r="4" ht="14.25">
      <c r="A4" s="36" t="s">
        <v>106</v>
      </c>
    </row>
    <row r="5" ht="12.75">
      <c r="A5" s="37" t="s">
        <v>34</v>
      </c>
    </row>
    <row r="6" ht="12.75">
      <c r="A6" s="12"/>
    </row>
    <row r="7" ht="12.75">
      <c r="A7" s="12" t="s">
        <v>44</v>
      </c>
    </row>
    <row r="8" ht="12.75">
      <c r="A8" s="12"/>
    </row>
    <row r="9" spans="4:6" s="55" customFormat="1" ht="12.75">
      <c r="D9" s="61" t="s">
        <v>65</v>
      </c>
      <c r="F9" s="61" t="s">
        <v>66</v>
      </c>
    </row>
    <row r="10" spans="4:6" s="55" customFormat="1" ht="12.75" customHeight="1" hidden="1">
      <c r="D10" s="70"/>
      <c r="F10" s="70"/>
    </row>
    <row r="11" spans="4:6" s="55" customFormat="1" ht="12.75" customHeight="1" hidden="1">
      <c r="D11" s="70"/>
      <c r="E11" s="60"/>
      <c r="F11" s="70"/>
    </row>
    <row r="12" spans="4:6" s="55" customFormat="1" ht="12.75">
      <c r="D12" s="61" t="s">
        <v>0</v>
      </c>
      <c r="E12" s="60"/>
      <c r="F12" s="61" t="s">
        <v>0</v>
      </c>
    </row>
    <row r="14" ht="12.75">
      <c r="B14" s="1" t="s">
        <v>25</v>
      </c>
    </row>
    <row r="15" ht="3.75" customHeight="1"/>
    <row r="16" spans="2:6" ht="12.75">
      <c r="B16" s="2" t="s">
        <v>71</v>
      </c>
      <c r="D16" s="46">
        <v>16244</v>
      </c>
      <c r="F16" s="3">
        <v>10787</v>
      </c>
    </row>
    <row r="17" spans="2:6" ht="12.75">
      <c r="B17" s="2" t="s">
        <v>93</v>
      </c>
      <c r="D17" s="50">
        <f>2069+500</f>
        <v>2569</v>
      </c>
      <c r="F17" s="6">
        <v>1771</v>
      </c>
    </row>
    <row r="18" spans="2:6" ht="12.75">
      <c r="B18" s="15" t="s">
        <v>39</v>
      </c>
      <c r="D18" s="46">
        <f>SUM(D16:D17)</f>
        <v>18813</v>
      </c>
      <c r="F18" s="3">
        <f>SUM(F16:F17)</f>
        <v>12558</v>
      </c>
    </row>
    <row r="19" spans="2:6" ht="12.75">
      <c r="B19" s="15" t="s">
        <v>94</v>
      </c>
      <c r="D19" s="50">
        <f>-9379+3+1+196</f>
        <v>-9179</v>
      </c>
      <c r="F19" s="6">
        <v>24632</v>
      </c>
    </row>
    <row r="20" spans="2:6" ht="12.75">
      <c r="B20" s="2" t="s">
        <v>54</v>
      </c>
      <c r="D20" s="46">
        <f>SUM(D18:D19)</f>
        <v>9634</v>
      </c>
      <c r="F20" s="3">
        <f>SUM(F18:F19)</f>
        <v>37190</v>
      </c>
    </row>
    <row r="21" spans="2:6" ht="12.75">
      <c r="B21" s="15" t="s">
        <v>22</v>
      </c>
      <c r="D21" s="46">
        <v>-679</v>
      </c>
      <c r="F21" s="3">
        <v>-746</v>
      </c>
    </row>
    <row r="22" spans="2:6" ht="12.75">
      <c r="B22" s="15" t="s">
        <v>23</v>
      </c>
      <c r="D22" s="50">
        <v>-4128</v>
      </c>
      <c r="F22" s="6">
        <v>-2946</v>
      </c>
    </row>
    <row r="23" spans="2:6" ht="13.5" thickBot="1">
      <c r="B23" s="15" t="s">
        <v>98</v>
      </c>
      <c r="D23" s="71">
        <f>SUM(D20:D22)</f>
        <v>4827</v>
      </c>
      <c r="F23" s="58">
        <f>SUM(F20:F22)</f>
        <v>33498</v>
      </c>
    </row>
    <row r="24" ht="12.75" customHeight="1">
      <c r="D24" s="46"/>
    </row>
    <row r="25" spans="2:4" ht="12.75">
      <c r="B25" s="1" t="s">
        <v>24</v>
      </c>
      <c r="D25" s="46"/>
    </row>
    <row r="26" ht="4.5" customHeight="1">
      <c r="D26" s="46"/>
    </row>
    <row r="27" spans="2:6" ht="12.75">
      <c r="B27" s="2" t="s">
        <v>95</v>
      </c>
      <c r="D27" s="53">
        <v>330</v>
      </c>
      <c r="F27" s="5">
        <v>-3311</v>
      </c>
    </row>
    <row r="28" spans="2:6" ht="12.75">
      <c r="B28" s="2" t="s">
        <v>72</v>
      </c>
      <c r="D28" s="53">
        <v>-4982</v>
      </c>
      <c r="F28" s="5">
        <v>-7611</v>
      </c>
    </row>
    <row r="29" spans="2:6" ht="12.75">
      <c r="B29" s="2" t="s">
        <v>99</v>
      </c>
      <c r="D29" s="53">
        <v>3340</v>
      </c>
      <c r="F29" s="5">
        <v>0</v>
      </c>
    </row>
    <row r="30" spans="2:6" ht="12.75">
      <c r="B30" s="2" t="s">
        <v>96</v>
      </c>
      <c r="D30" s="50">
        <v>-591</v>
      </c>
      <c r="F30" s="6">
        <v>-6123</v>
      </c>
    </row>
    <row r="31" spans="2:6" ht="13.5" thickBot="1">
      <c r="B31" s="2" t="s">
        <v>101</v>
      </c>
      <c r="D31" s="72">
        <f>SUM(D27:D30)</f>
        <v>-1903</v>
      </c>
      <c r="F31" s="59">
        <f>SUM(F27:F30)</f>
        <v>-17045</v>
      </c>
    </row>
    <row r="32" ht="12.75" customHeight="1">
      <c r="D32" s="46"/>
    </row>
    <row r="33" spans="2:4" ht="12.75">
      <c r="B33" s="1" t="s">
        <v>26</v>
      </c>
      <c r="D33" s="46"/>
    </row>
    <row r="34" spans="2:4" ht="4.5" customHeight="1">
      <c r="B34" s="1"/>
      <c r="D34" s="53"/>
    </row>
    <row r="35" spans="2:6" ht="13.5" customHeight="1">
      <c r="B35" s="15" t="s">
        <v>97</v>
      </c>
      <c r="D35" s="53">
        <v>-14054</v>
      </c>
      <c r="F35" s="5">
        <v>2565</v>
      </c>
    </row>
    <row r="36" spans="2:6" ht="12.75" hidden="1">
      <c r="B36" s="2" t="s">
        <v>27</v>
      </c>
      <c r="D36" s="53"/>
      <c r="F36" s="5"/>
    </row>
    <row r="37" spans="2:6" ht="12.75" hidden="1">
      <c r="B37" s="2" t="s">
        <v>28</v>
      </c>
      <c r="D37" s="53"/>
      <c r="F37" s="5"/>
    </row>
    <row r="38" spans="2:6" ht="12.75">
      <c r="B38" s="2" t="s">
        <v>126</v>
      </c>
      <c r="D38" s="53">
        <v>2799</v>
      </c>
      <c r="F38" s="5">
        <v>-176</v>
      </c>
    </row>
    <row r="39" spans="2:6" ht="12.75">
      <c r="B39" s="2" t="s">
        <v>127</v>
      </c>
      <c r="D39" s="53">
        <v>0</v>
      </c>
      <c r="F39" s="5">
        <v>-11</v>
      </c>
    </row>
    <row r="40" spans="2:6" ht="12.75">
      <c r="B40" s="13" t="s">
        <v>105</v>
      </c>
      <c r="D40" s="50">
        <f>+'[2]CONSOL-CF'!$Z$78/1000</f>
        <v>-7800</v>
      </c>
      <c r="F40" s="6">
        <v>-3900</v>
      </c>
    </row>
    <row r="41" spans="2:6" ht="13.5" thickBot="1">
      <c r="B41" s="13" t="s">
        <v>100</v>
      </c>
      <c r="D41" s="72">
        <f>SUM(D35:D40)</f>
        <v>-19055</v>
      </c>
      <c r="F41" s="59">
        <f>SUM(F35:F40)</f>
        <v>-1522</v>
      </c>
    </row>
    <row r="42" ht="12.75" customHeight="1">
      <c r="D42" s="46"/>
    </row>
    <row r="43" spans="2:6" ht="12.75">
      <c r="B43" s="13" t="s">
        <v>104</v>
      </c>
      <c r="D43" s="46">
        <f>D23+D31+D41</f>
        <v>-16131</v>
      </c>
      <c r="F43" s="3">
        <f>F23+F31+F41</f>
        <v>14931</v>
      </c>
    </row>
    <row r="44" ht="4.5" customHeight="1">
      <c r="D44" s="46"/>
    </row>
    <row r="45" spans="2:6" ht="12.75">
      <c r="B45" s="13" t="s">
        <v>102</v>
      </c>
      <c r="D45" s="46">
        <f>F47</f>
        <v>35288</v>
      </c>
      <c r="F45" s="3">
        <v>20357</v>
      </c>
    </row>
    <row r="46" ht="4.5" customHeight="1">
      <c r="D46" s="46"/>
    </row>
    <row r="47" spans="2:6" ht="13.5" thickBot="1">
      <c r="B47" s="13" t="s">
        <v>103</v>
      </c>
      <c r="D47" s="71">
        <f>+D43+D45</f>
        <v>19157</v>
      </c>
      <c r="F47" s="58">
        <f>+F43+F45</f>
        <v>35288</v>
      </c>
    </row>
    <row r="49" ht="12.75">
      <c r="B49" s="1" t="s">
        <v>122</v>
      </c>
    </row>
    <row r="50" spans="2:4" ht="12.75">
      <c r="B50" s="1" t="s">
        <v>108</v>
      </c>
      <c r="D50" s="16"/>
    </row>
  </sheetData>
  <mergeCells count="2">
    <mergeCell ref="A1:F1"/>
    <mergeCell ref="A2:F2"/>
  </mergeCells>
  <printOptions/>
  <pageMargins left="1.33" right="0.5" top="1.25" bottom="0.25" header="0.25" footer="0"/>
  <pageSetup horizontalDpi="180" verticalDpi="180" orientation="portrait" paperSize="9" scale="90" r:id="rId1"/>
  <headerFooter alignWithMargins="0">
    <oddFooter>&amp;C&amp;"Times New Roman,Italic"&amp;8- Page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workbookViewId="0" topLeftCell="A9">
      <selection activeCell="N29" sqref="N29"/>
    </sheetView>
  </sheetViews>
  <sheetFormatPr defaultColWidth="9.140625" defaultRowHeight="12.75"/>
  <cols>
    <col min="1" max="1" width="2.421875" style="2" customWidth="1"/>
    <col min="2" max="2" width="31.8515625" style="2" customWidth="1"/>
    <col min="3" max="3" width="0.71875" style="2" customWidth="1"/>
    <col min="4" max="4" width="8.421875" style="2" customWidth="1"/>
    <col min="5" max="5" width="0.85546875" style="2" customWidth="1"/>
    <col min="6" max="6" width="8.8515625" style="2" customWidth="1"/>
    <col min="7" max="7" width="0.71875" style="2" customWidth="1"/>
    <col min="8" max="8" width="11.7109375" style="2" bestFit="1" customWidth="1"/>
    <col min="9" max="9" width="0.85546875" style="2" customWidth="1"/>
    <col min="10" max="10" width="9.00390625" style="2" customWidth="1"/>
    <col min="11" max="11" width="0.85546875" style="2" customWidth="1"/>
    <col min="12" max="12" width="8.7109375" style="2" customWidth="1"/>
    <col min="13" max="13" width="0.85546875" style="2" customWidth="1"/>
    <col min="14" max="14" width="8.7109375" style="2" customWidth="1"/>
    <col min="15" max="16384" width="9.140625" style="2" customWidth="1"/>
  </cols>
  <sheetData>
    <row r="1" spans="1:14" ht="18.75">
      <c r="A1" s="76" t="str">
        <f>+'balance sheet'!A1</f>
        <v>ACOUSTECH BERHAD (496665-W)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2.75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ht="12.75">
      <c r="A3" s="12"/>
    </row>
    <row r="4" ht="14.25">
      <c r="A4" s="36" t="s">
        <v>106</v>
      </c>
    </row>
    <row r="5" ht="12.75">
      <c r="A5" s="37" t="s">
        <v>34</v>
      </c>
    </row>
    <row r="7" ht="12.75">
      <c r="A7" s="1" t="s">
        <v>42</v>
      </c>
    </row>
    <row r="9" spans="4:13" s="55" customFormat="1" ht="12.75">
      <c r="D9" s="73" t="s">
        <v>31</v>
      </c>
      <c r="E9" s="60"/>
      <c r="F9" s="60" t="s">
        <v>31</v>
      </c>
      <c r="G9" s="60"/>
      <c r="H9" s="73" t="s">
        <v>45</v>
      </c>
      <c r="I9" s="60"/>
      <c r="J9" s="60" t="s">
        <v>29</v>
      </c>
      <c r="K9" s="60"/>
      <c r="L9" s="60" t="s">
        <v>113</v>
      </c>
      <c r="M9" s="60"/>
    </row>
    <row r="10" spans="4:14" s="55" customFormat="1" ht="12.75">
      <c r="D10" s="60" t="s">
        <v>36</v>
      </c>
      <c r="E10" s="60"/>
      <c r="F10" s="60" t="s">
        <v>32</v>
      </c>
      <c r="G10" s="60"/>
      <c r="H10" s="73" t="s">
        <v>46</v>
      </c>
      <c r="I10" s="60"/>
      <c r="J10" s="60" t="s">
        <v>30</v>
      </c>
      <c r="K10" s="60"/>
      <c r="L10" s="60" t="s">
        <v>125</v>
      </c>
      <c r="M10" s="60"/>
      <c r="N10" s="60" t="s">
        <v>33</v>
      </c>
    </row>
    <row r="11" spans="4:14" s="55" customFormat="1" ht="12.75">
      <c r="D11" s="73" t="s">
        <v>0</v>
      </c>
      <c r="E11" s="60"/>
      <c r="F11" s="73" t="s">
        <v>0</v>
      </c>
      <c r="G11" s="73"/>
      <c r="H11" s="60" t="s">
        <v>0</v>
      </c>
      <c r="I11" s="60"/>
      <c r="J11" s="73" t="s">
        <v>0</v>
      </c>
      <c r="K11" s="60"/>
      <c r="L11" s="60" t="s">
        <v>0</v>
      </c>
      <c r="M11" s="60"/>
      <c r="N11" s="73" t="s">
        <v>0</v>
      </c>
    </row>
    <row r="13" spans="2:14" ht="12.75">
      <c r="B13" s="13" t="s">
        <v>79</v>
      </c>
      <c r="D13" s="46">
        <f aca="true" t="shared" si="0" ref="D13:L13">D52</f>
        <v>78000</v>
      </c>
      <c r="E13" s="46">
        <f t="shared" si="0"/>
        <v>0</v>
      </c>
      <c r="F13" s="46">
        <f t="shared" si="0"/>
        <v>4689</v>
      </c>
      <c r="G13" s="46">
        <f t="shared" si="0"/>
        <v>0</v>
      </c>
      <c r="H13" s="46">
        <f t="shared" si="0"/>
        <v>320</v>
      </c>
      <c r="I13" s="46">
        <f t="shared" si="0"/>
        <v>0</v>
      </c>
      <c r="J13" s="46">
        <f t="shared" si="0"/>
        <v>30540</v>
      </c>
      <c r="K13" s="46">
        <f t="shared" si="0"/>
        <v>0</v>
      </c>
      <c r="L13" s="46">
        <f t="shared" si="0"/>
        <v>7800</v>
      </c>
      <c r="M13" s="46"/>
      <c r="N13" s="46">
        <f>SUM(D13:M13)</f>
        <v>121349</v>
      </c>
    </row>
    <row r="14" spans="2:14" ht="12.75">
      <c r="B14" s="13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2:14" ht="12.75">
      <c r="B15" s="13" t="s">
        <v>55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2:14" ht="12.75">
      <c r="B16" s="15" t="s">
        <v>88</v>
      </c>
      <c r="D16" s="46">
        <v>0</v>
      </c>
      <c r="E16" s="46"/>
      <c r="F16" s="46">
        <v>0</v>
      </c>
      <c r="G16" s="46"/>
      <c r="H16" s="46">
        <v>4</v>
      </c>
      <c r="I16" s="46"/>
      <c r="J16" s="46">
        <v>0</v>
      </c>
      <c r="K16" s="46"/>
      <c r="L16" s="46">
        <v>0</v>
      </c>
      <c r="M16" s="46"/>
      <c r="N16" s="46">
        <f>SUM(D16:M16)</f>
        <v>4</v>
      </c>
    </row>
    <row r="17" spans="2:14" ht="12.75">
      <c r="B17" s="1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2:14" ht="12.75">
      <c r="B18" s="15" t="s">
        <v>90</v>
      </c>
      <c r="D18" s="46">
        <v>0</v>
      </c>
      <c r="E18" s="46"/>
      <c r="F18" s="54">
        <v>0</v>
      </c>
      <c r="G18" s="46"/>
      <c r="H18" s="46">
        <v>-17</v>
      </c>
      <c r="I18" s="46"/>
      <c r="J18" s="46">
        <v>0</v>
      </c>
      <c r="K18" s="46"/>
      <c r="L18" s="46">
        <v>0</v>
      </c>
      <c r="M18" s="46"/>
      <c r="N18" s="46">
        <f>SUM(D18:M18)</f>
        <v>-17</v>
      </c>
    </row>
    <row r="19" spans="4:14" ht="12.75"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2:14" ht="12.75">
      <c r="B20" s="13" t="s">
        <v>82</v>
      </c>
      <c r="D20" s="46">
        <v>0</v>
      </c>
      <c r="E20" s="46"/>
      <c r="F20" s="46">
        <v>0</v>
      </c>
      <c r="G20" s="46"/>
      <c r="H20" s="46">
        <v>0</v>
      </c>
      <c r="I20" s="46"/>
      <c r="J20" s="44">
        <f>+'income stat'!H41</f>
        <v>11068.470939568</v>
      </c>
      <c r="K20" s="46"/>
      <c r="L20" s="46">
        <v>0</v>
      </c>
      <c r="M20" s="46"/>
      <c r="N20" s="46">
        <f>SUM(D20:M20)</f>
        <v>11068.470939568</v>
      </c>
    </row>
    <row r="21" spans="2:14" ht="12.75">
      <c r="B21" s="13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2:14" ht="12.75">
      <c r="B22" s="15" t="s">
        <v>83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46"/>
    </row>
    <row r="23" spans="2:14" ht="12.75">
      <c r="B23" s="15" t="s">
        <v>84</v>
      </c>
      <c r="D23" s="46">
        <v>0</v>
      </c>
      <c r="E23" s="46"/>
      <c r="F23" s="46">
        <v>0</v>
      </c>
      <c r="G23" s="46"/>
      <c r="H23" s="46">
        <v>0</v>
      </c>
      <c r="I23" s="46"/>
      <c r="J23" s="46">
        <v>0</v>
      </c>
      <c r="K23" s="46"/>
      <c r="L23" s="46">
        <v>-7800</v>
      </c>
      <c r="M23" s="46"/>
      <c r="N23" s="46">
        <f>SUM(D23:M23)</f>
        <v>-7800</v>
      </c>
    </row>
    <row r="24" spans="2:14" ht="12.75">
      <c r="B24" s="13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ht="12.75">
      <c r="B25" s="2" t="s">
        <v>117</v>
      </c>
    </row>
    <row r="26" spans="2:14" ht="15.75">
      <c r="B26" s="2" t="s">
        <v>118</v>
      </c>
      <c r="D26" s="46">
        <v>0</v>
      </c>
      <c r="E26" s="1"/>
      <c r="F26" s="46">
        <v>0</v>
      </c>
      <c r="G26" s="1"/>
      <c r="H26" s="46">
        <v>0</v>
      </c>
      <c r="I26" s="1"/>
      <c r="J26" s="46">
        <v>-3900</v>
      </c>
      <c r="K26" s="1"/>
      <c r="L26" s="46">
        <v>0</v>
      </c>
      <c r="M26" s="1"/>
      <c r="N26" s="46">
        <f>SUM(D26:M26)</f>
        <v>-3900</v>
      </c>
    </row>
    <row r="27" spans="4:14" ht="12.75">
      <c r="D27" s="46"/>
      <c r="E27" s="1"/>
      <c r="F27" s="46"/>
      <c r="G27" s="1"/>
      <c r="H27" s="46"/>
      <c r="I27" s="1"/>
      <c r="J27" s="46"/>
      <c r="K27" s="1"/>
      <c r="L27" s="46"/>
      <c r="M27" s="1"/>
      <c r="N27" s="46"/>
    </row>
    <row r="28" spans="2:14" ht="12.75">
      <c r="B28" s="2" t="s">
        <v>128</v>
      </c>
      <c r="D28" s="46"/>
      <c r="E28" s="1"/>
      <c r="F28" s="46"/>
      <c r="G28" s="1"/>
      <c r="H28" s="46"/>
      <c r="I28" s="1"/>
      <c r="J28" s="46"/>
      <c r="K28" s="1"/>
      <c r="L28" s="46"/>
      <c r="M28" s="1"/>
      <c r="N28" s="46"/>
    </row>
    <row r="29" spans="2:14" ht="12.75">
      <c r="B29" s="2" t="s">
        <v>129</v>
      </c>
      <c r="D29" s="46">
        <v>0</v>
      </c>
      <c r="E29" s="1"/>
      <c r="F29" s="46">
        <v>0</v>
      </c>
      <c r="G29" s="1"/>
      <c r="H29" s="46">
        <v>0</v>
      </c>
      <c r="I29" s="1"/>
      <c r="J29" s="46">
        <v>-6240</v>
      </c>
      <c r="K29" s="1"/>
      <c r="L29" s="46">
        <v>6240</v>
      </c>
      <c r="M29" s="1"/>
      <c r="N29" s="46">
        <f>SUM(D29:M29)</f>
        <v>0</v>
      </c>
    </row>
    <row r="30" spans="4:14" ht="12.75"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2:14" ht="13.5" thickBot="1">
      <c r="B31" s="13" t="s">
        <v>89</v>
      </c>
      <c r="D31" s="71">
        <f>SUM(D13:D30)</f>
        <v>78000</v>
      </c>
      <c r="E31" s="71">
        <f aca="true" t="shared" si="1" ref="E31:N31">SUM(E13:E30)</f>
        <v>0</v>
      </c>
      <c r="F31" s="71">
        <f t="shared" si="1"/>
        <v>4689</v>
      </c>
      <c r="G31" s="71">
        <f t="shared" si="1"/>
        <v>0</v>
      </c>
      <c r="H31" s="71">
        <f t="shared" si="1"/>
        <v>307</v>
      </c>
      <c r="I31" s="71">
        <f t="shared" si="1"/>
        <v>0</v>
      </c>
      <c r="J31" s="71">
        <f t="shared" si="1"/>
        <v>31468.470939567997</v>
      </c>
      <c r="K31" s="71">
        <f t="shared" si="1"/>
        <v>0</v>
      </c>
      <c r="L31" s="71">
        <f t="shared" si="1"/>
        <v>6240</v>
      </c>
      <c r="M31" s="71">
        <f t="shared" si="1"/>
        <v>0</v>
      </c>
      <c r="N31" s="71">
        <f t="shared" si="1"/>
        <v>120704.47093956801</v>
      </c>
    </row>
    <row r="32" spans="4:14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12.75">
      <c r="B33" s="13" t="s">
        <v>80</v>
      </c>
      <c r="D33" s="3">
        <v>78000</v>
      </c>
      <c r="E33" s="3"/>
      <c r="F33" s="3">
        <v>4700</v>
      </c>
      <c r="G33" s="3"/>
      <c r="H33" s="3">
        <v>0</v>
      </c>
      <c r="I33" s="3"/>
      <c r="J33" s="3">
        <f>34317+1</f>
        <v>34318</v>
      </c>
      <c r="K33" s="3"/>
      <c r="L33" s="3">
        <v>0</v>
      </c>
      <c r="M33" s="3"/>
      <c r="N33" s="3">
        <f>SUM(D33:L33)</f>
        <v>117018</v>
      </c>
    </row>
    <row r="34" spans="2:14" ht="12.75">
      <c r="B34" s="15" t="s">
        <v>114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ht="12.75">
      <c r="B35" s="15" t="s">
        <v>115</v>
      </c>
      <c r="D35" s="6">
        <v>0</v>
      </c>
      <c r="E35" s="6"/>
      <c r="F35" s="6">
        <v>0</v>
      </c>
      <c r="G35" s="6"/>
      <c r="H35" s="6">
        <v>0</v>
      </c>
      <c r="I35" s="6"/>
      <c r="J35" s="6">
        <v>-3900</v>
      </c>
      <c r="K35" s="6"/>
      <c r="L35" s="6">
        <v>3900</v>
      </c>
      <c r="M35" s="6"/>
      <c r="N35" s="6">
        <f>SUM(D35:L35)</f>
        <v>0</v>
      </c>
    </row>
    <row r="36" spans="2:14" ht="12.75">
      <c r="B36" s="15" t="s">
        <v>116</v>
      </c>
      <c r="D36" s="5">
        <f>SUM(D33:D35)</f>
        <v>78000</v>
      </c>
      <c r="E36" s="5">
        <f aca="true" t="shared" si="2" ref="E36:N36">SUM(E33:E35)</f>
        <v>0</v>
      </c>
      <c r="F36" s="5">
        <f t="shared" si="2"/>
        <v>4700</v>
      </c>
      <c r="G36" s="5">
        <f t="shared" si="2"/>
        <v>0</v>
      </c>
      <c r="H36" s="5">
        <f t="shared" si="2"/>
        <v>0</v>
      </c>
      <c r="I36" s="5">
        <f t="shared" si="2"/>
        <v>0</v>
      </c>
      <c r="J36" s="5">
        <f t="shared" si="2"/>
        <v>30418</v>
      </c>
      <c r="K36" s="5">
        <f t="shared" si="2"/>
        <v>0</v>
      </c>
      <c r="L36" s="5">
        <f t="shared" si="2"/>
        <v>3900</v>
      </c>
      <c r="M36" s="5">
        <f t="shared" si="2"/>
        <v>0</v>
      </c>
      <c r="N36" s="5">
        <f t="shared" si="2"/>
        <v>117018</v>
      </c>
    </row>
    <row r="37" spans="4:14" ht="12.7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ht="12.75">
      <c r="B38" s="2" t="s">
        <v>85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12.75">
      <c r="B39" s="2" t="s">
        <v>86</v>
      </c>
      <c r="D39" s="3">
        <v>0</v>
      </c>
      <c r="E39" s="3"/>
      <c r="F39" s="3">
        <v>-11</v>
      </c>
      <c r="G39" s="3"/>
      <c r="H39" s="3">
        <v>0</v>
      </c>
      <c r="I39" s="3"/>
      <c r="J39" s="3">
        <v>0</v>
      </c>
      <c r="K39" s="3"/>
      <c r="L39" s="3">
        <v>0</v>
      </c>
      <c r="M39" s="3"/>
      <c r="N39" s="3">
        <f>SUM(D39:L39)</f>
        <v>-11</v>
      </c>
    </row>
    <row r="40" spans="4:14" ht="12.75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12.75">
      <c r="B41" s="2" t="s">
        <v>87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ht="12.75">
      <c r="B42" s="2" t="s">
        <v>88</v>
      </c>
      <c r="D42" s="3">
        <v>0</v>
      </c>
      <c r="E42" s="3"/>
      <c r="F42" s="3">
        <v>0</v>
      </c>
      <c r="G42" s="3"/>
      <c r="H42" s="3">
        <v>320</v>
      </c>
      <c r="I42" s="3"/>
      <c r="J42" s="3">
        <v>0</v>
      </c>
      <c r="K42" s="3"/>
      <c r="L42" s="3">
        <v>0</v>
      </c>
      <c r="M42" s="3"/>
      <c r="N42" s="3">
        <f>SUM(D42:L42)</f>
        <v>320</v>
      </c>
    </row>
    <row r="43" spans="2:14" ht="12.75">
      <c r="B43" s="2" t="s">
        <v>43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12.75">
      <c r="B44" s="13" t="s">
        <v>82</v>
      </c>
      <c r="D44" s="3">
        <v>0</v>
      </c>
      <c r="E44" s="3"/>
      <c r="F44" s="3">
        <v>0</v>
      </c>
      <c r="G44" s="3"/>
      <c r="H44" s="3">
        <v>0</v>
      </c>
      <c r="I44" s="3"/>
      <c r="J44" s="3">
        <f>+'income stat'!J41</f>
        <v>7922</v>
      </c>
      <c r="K44" s="3"/>
      <c r="L44" s="3">
        <v>0</v>
      </c>
      <c r="M44" s="3"/>
      <c r="N44" s="3">
        <f>SUM(D44:L44)</f>
        <v>7922</v>
      </c>
    </row>
    <row r="45" spans="4:14" ht="12.7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12.75">
      <c r="B46" s="15" t="s">
        <v>83</v>
      </c>
      <c r="N46" s="3"/>
    </row>
    <row r="47" spans="2:14" ht="12.75">
      <c r="B47" s="15" t="s">
        <v>84</v>
      </c>
      <c r="D47" s="3">
        <v>0</v>
      </c>
      <c r="E47" s="3"/>
      <c r="F47" s="3">
        <v>0</v>
      </c>
      <c r="G47" s="3"/>
      <c r="H47" s="3">
        <v>0</v>
      </c>
      <c r="I47" s="3"/>
      <c r="J47" s="3">
        <v>0</v>
      </c>
      <c r="K47" s="3"/>
      <c r="L47" s="3">
        <v>-3900</v>
      </c>
      <c r="M47" s="3"/>
      <c r="N47" s="3">
        <f>SUM(D47:L47)</f>
        <v>-3900</v>
      </c>
    </row>
    <row r="48" spans="2:14" ht="12.75">
      <c r="B48" s="1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ht="12.75">
      <c r="B49" s="15" t="s">
        <v>120</v>
      </c>
    </row>
    <row r="50" spans="2:14" ht="12.75">
      <c r="B50" s="15" t="s">
        <v>121</v>
      </c>
      <c r="D50" s="3">
        <v>0</v>
      </c>
      <c r="E50" s="3"/>
      <c r="F50" s="3">
        <v>0</v>
      </c>
      <c r="G50" s="3"/>
      <c r="H50" s="3">
        <v>0</v>
      </c>
      <c r="I50" s="3"/>
      <c r="J50" s="3">
        <v>-7800</v>
      </c>
      <c r="K50" s="3"/>
      <c r="L50" s="3">
        <v>7800</v>
      </c>
      <c r="M50" s="3"/>
      <c r="N50" s="3">
        <f>SUM(D50:L50)</f>
        <v>0</v>
      </c>
    </row>
    <row r="51" spans="4:14" ht="12.7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ht="13.5" thickBot="1">
      <c r="B52" s="13" t="s">
        <v>81</v>
      </c>
      <c r="D52" s="58">
        <f aca="true" t="shared" si="3" ref="D52:M52">SUM(D36:D51)</f>
        <v>78000</v>
      </c>
      <c r="E52" s="58">
        <f t="shared" si="3"/>
        <v>0</v>
      </c>
      <c r="F52" s="58">
        <f t="shared" si="3"/>
        <v>4689</v>
      </c>
      <c r="G52" s="58">
        <f t="shared" si="3"/>
        <v>0</v>
      </c>
      <c r="H52" s="58">
        <f t="shared" si="3"/>
        <v>320</v>
      </c>
      <c r="I52" s="58">
        <f t="shared" si="3"/>
        <v>0</v>
      </c>
      <c r="J52" s="58">
        <f t="shared" si="3"/>
        <v>30540</v>
      </c>
      <c r="K52" s="58">
        <f t="shared" si="3"/>
        <v>0</v>
      </c>
      <c r="L52" s="58">
        <f t="shared" si="3"/>
        <v>7800</v>
      </c>
      <c r="M52" s="58">
        <f t="shared" si="3"/>
        <v>0</v>
      </c>
      <c r="N52" s="58">
        <f>SUM(N36:N51)</f>
        <v>121349</v>
      </c>
    </row>
    <row r="53" spans="2:14" ht="12.75">
      <c r="B53" s="13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4" ht="15.75">
      <c r="B54" s="74" t="s">
        <v>119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4:14" ht="12.7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ht="12.75">
      <c r="B56" s="1" t="s">
        <v>122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ht="12.75">
      <c r="B57" s="1" t="s">
        <v>108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</sheetData>
  <mergeCells count="2">
    <mergeCell ref="A1:N1"/>
    <mergeCell ref="A2:N2"/>
  </mergeCells>
  <printOptions horizontalCentered="1"/>
  <pageMargins left="0.25" right="0.25" top="1.25" bottom="0.5" header="0.25" footer="0.25"/>
  <pageSetup fitToHeight="1" fitToWidth="1" horizontalDpi="300" verticalDpi="300" orientation="portrait" paperSize="9" scale="98" r:id="rId1"/>
  <headerFooter alignWithMargins="0">
    <oddFooter>&amp;C&amp;"Times New Roman,Italic"&amp;8- Page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Ropli</cp:lastModifiedBy>
  <cp:lastPrinted>2004-05-18T06:41:41Z</cp:lastPrinted>
  <dcterms:created xsi:type="dcterms:W3CDTF">1996-10-14T23:33:28Z</dcterms:created>
  <dcterms:modified xsi:type="dcterms:W3CDTF">2004-02-26T07:02:12Z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